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30" yWindow="390" windowWidth="25215" windowHeight="5040" firstSheet="7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E8" i="16" l="1"/>
  <c r="E7" i="16"/>
  <c r="E6" i="16"/>
  <c r="D8" i="16" l="1"/>
  <c r="D7" i="16"/>
  <c r="D6" i="16"/>
  <c r="C8" i="16" l="1"/>
  <c r="C7" i="16"/>
  <c r="C6" i="16"/>
  <c r="C12" i="16"/>
  <c r="D12" i="16"/>
  <c r="N12" i="16"/>
  <c r="M12" i="16"/>
  <c r="L12" i="16"/>
  <c r="K12" i="16"/>
  <c r="J12" i="16"/>
  <c r="I12" i="16"/>
  <c r="H12" i="16"/>
  <c r="G12" i="16"/>
  <c r="F12" i="16"/>
  <c r="E12" i="16"/>
  <c r="N8" i="15" l="1"/>
  <c r="N7" i="15"/>
  <c r="N6" i="15"/>
  <c r="M8" i="15" l="1"/>
  <c r="M7" i="15"/>
  <c r="M6" i="15"/>
  <c r="L8" i="15" l="1"/>
  <c r="L7" i="15"/>
  <c r="L6" i="15"/>
  <c r="J8" i="15"/>
  <c r="J7" i="15"/>
  <c r="J6" i="15"/>
  <c r="K8" i="15"/>
  <c r="K7" i="15"/>
  <c r="K6" i="15"/>
  <c r="I8" i="15" l="1"/>
  <c r="I7" i="15"/>
  <c r="I6" i="15"/>
  <c r="H8" i="15" l="1"/>
  <c r="H7" i="15"/>
  <c r="H6" i="15"/>
  <c r="G8" i="15" l="1"/>
  <c r="G7" i="15"/>
  <c r="G6" i="15"/>
  <c r="F8" i="15" l="1"/>
  <c r="F7" i="15"/>
  <c r="F6" i="15"/>
  <c r="E8" i="15" l="1"/>
  <c r="E7" i="15"/>
  <c r="E6" i="15"/>
  <c r="D8" i="15" l="1"/>
  <c r="D7" i="15"/>
  <c r="D6" i="15"/>
  <c r="D12" i="15" s="1"/>
  <c r="C8" i="15" l="1"/>
  <c r="C7" i="15"/>
  <c r="C6" i="15"/>
  <c r="AH11" i="13" l="1"/>
  <c r="AH9" i="13"/>
  <c r="AH8" i="13"/>
  <c r="AH7" i="13"/>
  <c r="AH6" i="13"/>
  <c r="AH5" i="13"/>
  <c r="M12" i="15"/>
  <c r="I12" i="15"/>
  <c r="G12" i="15"/>
  <c r="F12" i="15"/>
  <c r="E12" i="15"/>
  <c r="C12" i="15"/>
  <c r="L12" i="15"/>
  <c r="H12" i="15"/>
  <c r="N12" i="15"/>
  <c r="K12" i="15"/>
  <c r="J12" i="15"/>
  <c r="AS8" i="14" l="1"/>
  <c r="AS7" i="14"/>
  <c r="AS6" i="14"/>
  <c r="AO8" i="14"/>
  <c r="AO7" i="14"/>
  <c r="AO6" i="14"/>
  <c r="AK8" i="14"/>
  <c r="AK7" i="14"/>
  <c r="AK6" i="14"/>
  <c r="AG8" i="14"/>
  <c r="AG7" i="14"/>
  <c r="AG6" i="14"/>
  <c r="AC11" i="14"/>
  <c r="AC8" i="14"/>
  <c r="AC7" i="14"/>
  <c r="AC6" i="14"/>
  <c r="Y8" i="14"/>
  <c r="Y7" i="14"/>
  <c r="Y6" i="14"/>
  <c r="X8" i="14"/>
  <c r="U8" i="14"/>
  <c r="U7" i="14"/>
  <c r="U6" i="14"/>
  <c r="E12" i="14"/>
  <c r="G12" i="14"/>
  <c r="H12" i="14"/>
  <c r="J12" i="14"/>
  <c r="K12" i="14"/>
  <c r="M12" i="14"/>
  <c r="N12" i="14"/>
  <c r="O12" i="14"/>
  <c r="Q12" i="14"/>
  <c r="R12" i="14"/>
  <c r="S12" i="14"/>
  <c r="U12" i="14"/>
  <c r="V12" i="14"/>
  <c r="W12" i="14"/>
  <c r="Y12" i="14"/>
  <c r="Z12" i="14"/>
  <c r="AA12" i="14"/>
  <c r="AC12" i="14"/>
  <c r="AD12" i="14"/>
  <c r="AE12" i="14"/>
  <c r="AG12" i="14"/>
  <c r="AH12" i="14"/>
  <c r="AI12" i="14"/>
  <c r="AK12" i="14"/>
  <c r="AL12" i="14"/>
  <c r="AM12" i="14"/>
  <c r="AO12" i="14"/>
  <c r="AP12" i="14"/>
  <c r="AQ12" i="14"/>
  <c r="AS12" i="14"/>
  <c r="D12" i="14"/>
  <c r="W10" i="12"/>
  <c r="W8" i="12"/>
  <c r="W7" i="12"/>
  <c r="W6" i="12"/>
  <c r="W5" i="12"/>
  <c r="AF5" i="13"/>
  <c r="AC5" i="13"/>
  <c r="Z5" i="13"/>
  <c r="W5" i="13"/>
  <c r="T5" i="13"/>
  <c r="Q5" i="13"/>
  <c r="M12" i="13"/>
  <c r="O12" i="13"/>
  <c r="P12" i="13"/>
  <c r="R12" i="13"/>
  <c r="S12" i="13"/>
  <c r="U12" i="13"/>
  <c r="V12" i="13"/>
  <c r="X12" i="13"/>
  <c r="Y12" i="13"/>
  <c r="AA12" i="13"/>
  <c r="AB12" i="13"/>
  <c r="AD12" i="13"/>
  <c r="AE12" i="13"/>
  <c r="AG12" i="13"/>
  <c r="E12" i="13"/>
  <c r="G12" i="13"/>
  <c r="I12" i="13"/>
  <c r="L12" i="13"/>
  <c r="K5" i="13"/>
  <c r="H5" i="13"/>
  <c r="C12" i="13"/>
  <c r="O10" i="11"/>
  <c r="O8" i="11"/>
  <c r="O7" i="11"/>
  <c r="O6" i="11"/>
  <c r="O5" i="11"/>
  <c r="R6" i="12"/>
  <c r="R5" i="12"/>
  <c r="Q6" i="11"/>
  <c r="Q7" i="11"/>
  <c r="Q8" i="11"/>
  <c r="Q10" i="11"/>
  <c r="Q5" i="11"/>
  <c r="V11" i="12"/>
  <c r="T11" i="12"/>
  <c r="R11" i="12"/>
  <c r="P11" i="12"/>
  <c r="N11" i="12"/>
  <c r="L11" i="12"/>
  <c r="J11" i="12"/>
  <c r="H11" i="12"/>
  <c r="F11" i="12"/>
  <c r="E11" i="12"/>
  <c r="D11" i="12"/>
  <c r="C11" i="12"/>
  <c r="N11" i="11"/>
  <c r="M11" i="11"/>
  <c r="L11" i="11"/>
  <c r="K11" i="11"/>
  <c r="J11" i="11"/>
  <c r="I11" i="11"/>
  <c r="H11" i="11"/>
  <c r="G11" i="11"/>
  <c r="F11" i="11"/>
  <c r="E11" i="11"/>
  <c r="D11" i="11"/>
  <c r="C11" i="11"/>
  <c r="N11" i="10"/>
  <c r="M11" i="10"/>
  <c r="L11" i="10"/>
  <c r="K11" i="10"/>
  <c r="J11" i="10"/>
  <c r="I11" i="10"/>
  <c r="H11" i="10"/>
  <c r="G11" i="10"/>
  <c r="F11" i="10"/>
  <c r="E11" i="10"/>
  <c r="D11" i="10"/>
  <c r="C11" i="10"/>
  <c r="J11" i="9"/>
  <c r="I11" i="9"/>
  <c r="H11" i="9"/>
  <c r="G11" i="9"/>
  <c r="N11" i="9"/>
  <c r="M11" i="9"/>
  <c r="L11" i="9"/>
  <c r="K11" i="9"/>
  <c r="F11" i="9"/>
  <c r="E11" i="9"/>
  <c r="D11" i="9"/>
  <c r="C11" i="9"/>
  <c r="F11" i="8"/>
  <c r="D11" i="8"/>
  <c r="C11" i="8"/>
  <c r="N11" i="8"/>
  <c r="M11" i="8"/>
  <c r="L11" i="8"/>
  <c r="K11" i="8"/>
  <c r="J11" i="8"/>
  <c r="I11" i="8"/>
  <c r="H11" i="8"/>
  <c r="G11" i="8"/>
  <c r="E11" i="8"/>
  <c r="H13" i="7"/>
  <c r="F13" i="7"/>
  <c r="C13" i="7"/>
  <c r="D13" i="7"/>
  <c r="E13" i="7"/>
  <c r="G13" i="7"/>
  <c r="I13" i="7"/>
  <c r="J13" i="7"/>
  <c r="K13" i="7"/>
  <c r="L13" i="7"/>
  <c r="M13" i="7"/>
  <c r="N13" i="7"/>
  <c r="D12" i="6"/>
  <c r="E12" i="6"/>
  <c r="F12" i="6"/>
  <c r="G12" i="6"/>
  <c r="H12" i="6"/>
  <c r="I12" i="6"/>
  <c r="J12" i="6"/>
  <c r="K12" i="6"/>
  <c r="L12" i="6"/>
  <c r="M12" i="6"/>
  <c r="N12" i="6"/>
  <c r="N13" i="6"/>
  <c r="C12" i="6"/>
  <c r="D12" i="5"/>
  <c r="E12" i="5"/>
  <c r="F12" i="5"/>
  <c r="G12" i="5"/>
  <c r="H12" i="5"/>
  <c r="I12" i="5"/>
  <c r="J12" i="5"/>
  <c r="K12" i="5"/>
  <c r="L12" i="5"/>
  <c r="M12" i="5"/>
  <c r="N12" i="5"/>
  <c r="C12" i="5"/>
  <c r="C13" i="5"/>
  <c r="C13" i="6"/>
  <c r="M13" i="6"/>
  <c r="L13" i="6"/>
  <c r="K13" i="6"/>
  <c r="J13" i="6"/>
  <c r="I13" i="6"/>
  <c r="H13" i="6"/>
  <c r="G13" i="6"/>
  <c r="F13" i="6"/>
  <c r="E13" i="6"/>
  <c r="D13" i="6"/>
  <c r="N13" i="5"/>
  <c r="M13" i="5"/>
  <c r="L13" i="5"/>
  <c r="K13" i="5"/>
  <c r="J13" i="5"/>
  <c r="I13" i="5"/>
  <c r="H13" i="5"/>
  <c r="G13" i="5"/>
  <c r="F13" i="5"/>
  <c r="E13" i="5"/>
  <c r="D13" i="5"/>
</calcChain>
</file>

<file path=xl/sharedStrings.xml><?xml version="1.0" encoding="utf-8"?>
<sst xmlns="http://schemas.openxmlformats.org/spreadsheetml/2006/main" count="295" uniqueCount="39">
  <si>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</si>
  <si>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</si>
  <si>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</si>
  <si>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</si>
  <si>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</si>
  <si>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</si>
  <si>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</si>
  <si>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</si>
  <si>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</si>
  <si>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</si>
  <si>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</si>
  <si>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</si>
  <si>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</si>
  <si>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</si>
  <si>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</si>
  <si>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</si>
  <si>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</si>
  <si>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</si>
  <si>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</si>
  <si>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</si>
  <si>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</si>
  <si>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ГН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</si>
  <si>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</si>
  <si>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2015 год</t>
  </si>
  <si>
    <t>ОАО "МРСК Урала" - филиал "Пермэнерго"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</si>
  <si>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</si>
  <si>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</si>
  <si>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2016 год</t>
  </si>
  <si>
    <t>ПАО "МРСК Урала" - филиал "Пермэнерго"</t>
  </si>
  <si>
    <t>Население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</si>
  <si>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</si>
  <si>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</si>
  <si>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</si>
  <si>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2020 год</t>
  </si>
  <si>
    <t>Пермский Филиал ОАО "МРСК Урала" -  "Пермэнерго"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</si>
  <si>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</si>
  <si>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</si>
  <si>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</si>
  <si>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 Пермского края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</si>
</sst>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5" fontId="2" fillId="0" borderId="0" xfId="1" applyNumberFormat="1" applyFont="1"/>
    <xf numFmtId="165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5" fillId="0" borderId="0" xfId="2" applyNumberFormat="1" applyFont="1" applyAlignment="1">
      <alignment horizontal="right"/>
    </xf>
    <xf numFmtId="1" fontId="5" fillId="0" borderId="0" xfId="2" applyNumberFormat="1" applyFont="1" applyAlignment="1">
      <alignment horizontal="right"/>
    </xf>
    <xf numFmtId="3" fontId="4" fillId="0" borderId="0" xfId="2" applyNumberFormat="1" applyAlignment="1">
      <alignment horizontal="right"/>
    </xf>
    <xf numFmtId="1" fontId="4" fillId="0" borderId="0" xfId="2" applyNumberFormat="1" applyAlignment="1">
      <alignment horizontal="right"/>
    </xf>
    <xf numFmtId="0" fontId="5" fillId="0" borderId="0" xfId="2" applyNumberFormat="1" applyFont="1" applyAlignment="1">
      <alignment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5" fillId="0" borderId="0" xfId="2" applyNumberFormat="1" applyFont="1" applyAlignment="1"/>
    <xf numFmtId="165" fontId="6" fillId="0" borderId="0" xfId="1" applyNumberFormat="1" applyFont="1"/>
    <xf numFmtId="0" fontId="2" fillId="0" borderId="0" xfId="0" applyFont="1" applyAlignment="1"/>
    <xf numFmtId="0" fontId="5" fillId="0" borderId="0" xfId="2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2" applyNumberFormat="1" applyFont="1" applyAlignment="1">
      <alignment horizontal="left" wrapText="1"/>
    </xf>
    <xf numFmtId="0" fontId="5" fillId="0" borderId="0" xfId="2" applyNumberFormat="1" applyFont="1" applyAlignment="1">
      <alignment horizontal="left" wrapText="1"/>
    </xf>
    <xf numFmtId="0" fontId="5" fillId="0" borderId="0" xfId="2" applyNumberFormat="1" applyFont="1" applyAlignment="1">
      <alignment horizontal="left" wrapText="1"/>
    </xf>
    <xf numFmtId="3" fontId="3" fillId="0" borderId="6" xfId="0" applyNumberFormat="1" applyFont="1" applyBorder="1" applyAlignment="1">
      <alignment horizontal="center"/>
    </xf>
    <xf numFmtId="0" fontId="5" fillId="0" borderId="0" xfId="2" applyNumberFormat="1" applyFont="1" applyAlignment="1">
      <alignment horizontal="left" wrapText="1"/>
    </xf>
    <xf numFmtId="0" fontId="5" fillId="0" borderId="0" xfId="2" applyNumberFormat="1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4" fillId="0" borderId="0" xfId="2" applyNumberForma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5" fillId="0" borderId="0" xfId="2" applyNumberFormat="1" applyFont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G20" sqref="G2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44" t="s">
        <v>24</v>
      </c>
      <c r="B4" s="46" t="s">
        <v>19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22.5" customHeight="1" x14ac:dyDescent="0.25">
      <c r="A5" s="45"/>
      <c r="B5" s="5" t="s">
        <v>21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1:14" ht="22.5" customHeight="1" x14ac:dyDescent="0.25">
      <c r="A6" s="45"/>
      <c r="B6" s="5" t="s">
        <v>14</v>
      </c>
      <c r="C6" s="11">
        <v>95957612</v>
      </c>
      <c r="D6" s="11">
        <v>85271659</v>
      </c>
      <c r="E6" s="11">
        <v>98205900</v>
      </c>
      <c r="F6" s="11">
        <v>87425205</v>
      </c>
      <c r="G6" s="11">
        <v>84826944</v>
      </c>
      <c r="H6" s="11">
        <v>80014913</v>
      </c>
      <c r="I6" s="11">
        <v>79522322</v>
      </c>
      <c r="J6" s="11">
        <v>77795434</v>
      </c>
      <c r="K6" s="11">
        <v>78328704</v>
      </c>
      <c r="L6" s="11">
        <v>86866141</v>
      </c>
      <c r="M6" s="11">
        <v>86516552</v>
      </c>
      <c r="N6" s="11">
        <v>95229791</v>
      </c>
    </row>
    <row r="7" spans="1:14" ht="22.5" customHeight="1" x14ac:dyDescent="0.25">
      <c r="A7" s="45"/>
      <c r="B7" s="5" t="s">
        <v>15</v>
      </c>
      <c r="C7" s="3">
        <v>8669630</v>
      </c>
      <c r="D7" s="3">
        <v>7843974</v>
      </c>
      <c r="E7" s="3">
        <v>8561388</v>
      </c>
      <c r="F7" s="3">
        <v>6809644</v>
      </c>
      <c r="G7" s="3">
        <v>6512517</v>
      </c>
      <c r="H7" s="3">
        <v>6469587</v>
      </c>
      <c r="I7" s="3">
        <v>7101959</v>
      </c>
      <c r="J7" s="3">
        <v>7319212</v>
      </c>
      <c r="K7" s="3">
        <v>7604453</v>
      </c>
      <c r="L7" s="3">
        <v>8850974</v>
      </c>
      <c r="M7" s="3">
        <v>8643231</v>
      </c>
      <c r="N7" s="3">
        <v>9196777</v>
      </c>
    </row>
    <row r="8" spans="1:14" ht="22.5" customHeight="1" x14ac:dyDescent="0.25">
      <c r="A8" s="45"/>
      <c r="B8" s="5" t="s">
        <v>16</v>
      </c>
      <c r="C8" s="3">
        <v>565859</v>
      </c>
      <c r="D8" s="3">
        <v>431839</v>
      </c>
      <c r="E8" s="3">
        <v>454544</v>
      </c>
      <c r="F8" s="3">
        <v>470815</v>
      </c>
      <c r="G8" s="3">
        <v>181015</v>
      </c>
      <c r="H8" s="3">
        <v>195142</v>
      </c>
      <c r="I8" s="3">
        <v>151593</v>
      </c>
      <c r="J8" s="3">
        <v>112427</v>
      </c>
      <c r="K8" s="3">
        <v>202732</v>
      </c>
      <c r="L8" s="3">
        <v>403216</v>
      </c>
      <c r="M8" s="3">
        <v>409275</v>
      </c>
      <c r="N8" s="3">
        <v>406893</v>
      </c>
    </row>
    <row r="9" spans="1:14" ht="22.5" customHeight="1" x14ac:dyDescent="0.25">
      <c r="A9" s="45"/>
      <c r="B9" s="5" t="s">
        <v>17</v>
      </c>
      <c r="C9" s="3">
        <v>256521</v>
      </c>
      <c r="D9" s="3">
        <v>212588</v>
      </c>
      <c r="E9" s="3">
        <v>214036</v>
      </c>
      <c r="F9" s="3">
        <v>165199</v>
      </c>
      <c r="G9" s="3">
        <v>194364</v>
      </c>
      <c r="H9" s="3">
        <v>46860</v>
      </c>
      <c r="I9" s="3">
        <v>39941</v>
      </c>
      <c r="J9" s="3">
        <v>57207</v>
      </c>
      <c r="K9" s="3">
        <v>92498</v>
      </c>
      <c r="L9" s="3">
        <v>189959</v>
      </c>
      <c r="M9" s="3">
        <v>224314</v>
      </c>
      <c r="N9" s="3">
        <v>212633</v>
      </c>
    </row>
    <row r="10" spans="1:14" ht="22.5" customHeight="1" x14ac:dyDescent="0.25">
      <c r="A10" s="45"/>
      <c r="B10" s="46" t="s">
        <v>20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2.5" customHeight="1" x14ac:dyDescent="0.25">
      <c r="A11" s="45"/>
      <c r="B11" s="4"/>
      <c r="C11" s="3">
        <v>1860</v>
      </c>
      <c r="D11" s="3">
        <v>4000</v>
      </c>
      <c r="E11" s="3">
        <v>2990</v>
      </c>
      <c r="F11" s="3">
        <v>3660</v>
      </c>
      <c r="G11" s="3">
        <v>2270</v>
      </c>
      <c r="H11" s="3">
        <v>4530</v>
      </c>
      <c r="I11" s="3">
        <v>3260</v>
      </c>
      <c r="J11" s="3">
        <v>2730</v>
      </c>
      <c r="K11" s="3">
        <v>2490</v>
      </c>
      <c r="L11" s="3">
        <v>3600</v>
      </c>
      <c r="M11" s="3">
        <v>4491</v>
      </c>
      <c r="N11" s="3">
        <v>5355</v>
      </c>
    </row>
    <row r="12" spans="1:14" ht="30.75" customHeight="1" x14ac:dyDescent="0.25">
      <c r="A12" s="45"/>
      <c r="B12" s="6" t="s">
        <v>18</v>
      </c>
      <c r="C12" s="3">
        <f t="shared" ref="C12:N12" si="0">SUM(C5:C9,C11)</f>
        <v>105451482</v>
      </c>
      <c r="D12" s="3">
        <f t="shared" si="0"/>
        <v>93764060</v>
      </c>
      <c r="E12" s="3">
        <f t="shared" si="0"/>
        <v>107438858</v>
      </c>
      <c r="F12" s="3">
        <f t="shared" si="0"/>
        <v>94874523</v>
      </c>
      <c r="G12" s="3">
        <f t="shared" si="0"/>
        <v>91717110</v>
      </c>
      <c r="H12" s="3">
        <f t="shared" si="0"/>
        <v>86731032</v>
      </c>
      <c r="I12" s="3">
        <f t="shared" si="0"/>
        <v>86819075</v>
      </c>
      <c r="J12" s="3">
        <f t="shared" si="0"/>
        <v>85287010</v>
      </c>
      <c r="K12" s="3">
        <f t="shared" si="0"/>
        <v>86230877</v>
      </c>
      <c r="L12" s="3">
        <f t="shared" si="0"/>
        <v>96313890</v>
      </c>
      <c r="M12" s="3">
        <f t="shared" si="0"/>
        <v>95797863</v>
      </c>
      <c r="N12" s="3">
        <f t="shared" si="0"/>
        <v>105051449</v>
      </c>
    </row>
    <row r="13" spans="1:14" ht="22.5" customHeight="1" x14ac:dyDescent="0.25">
      <c r="A13" s="49" t="s">
        <v>18</v>
      </c>
      <c r="B13" s="50"/>
      <c r="C13" s="10">
        <f>C12</f>
        <v>105451482</v>
      </c>
      <c r="D13" s="10">
        <f t="shared" ref="D13:N13" si="1">D12</f>
        <v>93764060</v>
      </c>
      <c r="E13" s="10">
        <f t="shared" si="1"/>
        <v>107438858</v>
      </c>
      <c r="F13" s="10">
        <f t="shared" si="1"/>
        <v>94874523</v>
      </c>
      <c r="G13" s="10">
        <f t="shared" si="1"/>
        <v>91717110</v>
      </c>
      <c r="H13" s="10">
        <f t="shared" si="1"/>
        <v>86731032</v>
      </c>
      <c r="I13" s="10">
        <f t="shared" si="1"/>
        <v>86819075</v>
      </c>
      <c r="J13" s="10">
        <f t="shared" si="1"/>
        <v>85287010</v>
      </c>
      <c r="K13" s="10">
        <f t="shared" si="1"/>
        <v>86230877</v>
      </c>
      <c r="L13" s="10">
        <f t="shared" si="1"/>
        <v>96313890</v>
      </c>
      <c r="M13" s="10">
        <f t="shared" si="1"/>
        <v>95797863</v>
      </c>
      <c r="N13" s="10">
        <f t="shared" si="1"/>
        <v>105051449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8"/>
  <sheetViews>
    <sheetView zoomScale="70" zoomScaleNormal="70" workbookViewId="0">
      <selection activeCell="AT5" sqref="AT5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140625" style="1" customWidth="1"/>
    <col min="5" max="6" width="20.140625" style="1" hidden="1" customWidth="1"/>
    <col min="7" max="7" width="20.140625" style="1" customWidth="1"/>
    <col min="8" max="9" width="20.140625" style="1" hidden="1" customWidth="1"/>
    <col min="10" max="10" width="20.140625" style="1" customWidth="1"/>
    <col min="11" max="12" width="20.140625" style="1" hidden="1" customWidth="1"/>
    <col min="13" max="13" width="13.7109375" style="1" customWidth="1"/>
    <col min="14" max="16" width="20.140625" style="1" hidden="1" customWidth="1"/>
    <col min="17" max="17" width="20.140625" style="1" customWidth="1"/>
    <col min="18" max="20" width="20.140625" style="1" hidden="1" customWidth="1"/>
    <col min="21" max="21" width="20.140625" style="1" customWidth="1"/>
    <col min="22" max="23" width="20.140625" style="1" hidden="1" customWidth="1"/>
    <col min="24" max="24" width="10.28515625" style="1" hidden="1" customWidth="1"/>
    <col min="25" max="25" width="20.140625" style="1" customWidth="1"/>
    <col min="26" max="28" width="20.140625" style="1" hidden="1" customWidth="1"/>
    <col min="29" max="29" width="20.140625" style="1" customWidth="1"/>
    <col min="30" max="32" width="20.140625" style="1" hidden="1" customWidth="1"/>
    <col min="33" max="33" width="20.140625" style="1" customWidth="1"/>
    <col min="34" max="36" width="20.140625" style="1" hidden="1" customWidth="1"/>
    <col min="37" max="37" width="20.140625" style="1" customWidth="1"/>
    <col min="38" max="40" width="20.140625" style="1" hidden="1" customWidth="1"/>
    <col min="41" max="41" width="20.140625" style="1" customWidth="1"/>
    <col min="42" max="44" width="20.140625" style="1" hidden="1" customWidth="1"/>
    <col min="45" max="45" width="20.140625" style="1" customWidth="1"/>
    <col min="46" max="46" width="9.140625" style="35"/>
    <col min="47" max="16384" width="9.140625" style="1"/>
  </cols>
  <sheetData>
    <row r="2" spans="1:46" ht="42.75" customHeight="1" x14ac:dyDescent="0.2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6" s="2" customFormat="1" ht="33" customHeight="1" x14ac:dyDescent="0.25">
      <c r="A3" s="16" t="s">
        <v>0</v>
      </c>
      <c r="B3" s="17" t="s">
        <v>1</v>
      </c>
      <c r="C3" s="17"/>
      <c r="D3" s="18" t="s">
        <v>2</v>
      </c>
      <c r="E3" s="18"/>
      <c r="F3" s="18"/>
      <c r="G3" s="18" t="s">
        <v>3</v>
      </c>
      <c r="H3" s="18"/>
      <c r="I3" s="18"/>
      <c r="J3" s="18" t="s">
        <v>4</v>
      </c>
      <c r="K3" s="18"/>
      <c r="L3" s="18"/>
      <c r="M3" s="18" t="s">
        <v>5</v>
      </c>
      <c r="N3" s="18"/>
      <c r="O3" s="18"/>
      <c r="P3" s="18"/>
      <c r="Q3" s="18" t="s">
        <v>6</v>
      </c>
      <c r="R3" s="18"/>
      <c r="S3" s="18"/>
      <c r="T3" s="18"/>
      <c r="U3" s="18" t="s">
        <v>7</v>
      </c>
      <c r="V3" s="18"/>
      <c r="W3" s="18"/>
      <c r="X3" s="18"/>
      <c r="Y3" s="18" t="s">
        <v>8</v>
      </c>
      <c r="Z3" s="18"/>
      <c r="AA3" s="18"/>
      <c r="AB3" s="18"/>
      <c r="AC3" s="18" t="s">
        <v>9</v>
      </c>
      <c r="AD3" s="18"/>
      <c r="AE3" s="18"/>
      <c r="AF3" s="18"/>
      <c r="AG3" s="18" t="s">
        <v>10</v>
      </c>
      <c r="AH3" s="18"/>
      <c r="AI3" s="18"/>
      <c r="AJ3" s="18"/>
      <c r="AK3" s="18" t="s">
        <v>11</v>
      </c>
      <c r="AL3" s="18"/>
      <c r="AM3" s="18"/>
      <c r="AN3" s="18"/>
      <c r="AO3" s="18" t="s">
        <v>12</v>
      </c>
      <c r="AP3" s="18"/>
      <c r="AQ3" s="18"/>
      <c r="AR3" s="18"/>
      <c r="AS3" s="18" t="s">
        <v>13</v>
      </c>
      <c r="AT3" s="36"/>
    </row>
    <row r="4" spans="1:46" ht="22.5" customHeight="1" x14ac:dyDescent="0.25">
      <c r="A4" s="53" t="s">
        <v>34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7"/>
    </row>
    <row r="5" spans="1:46" ht="22.5" customHeight="1" x14ac:dyDescent="0.25">
      <c r="A5" s="54"/>
      <c r="B5" s="20" t="s">
        <v>21</v>
      </c>
      <c r="C5" s="20"/>
      <c r="D5" s="20">
        <v>692653</v>
      </c>
      <c r="E5" s="20"/>
      <c r="F5" s="20"/>
      <c r="G5" s="20">
        <v>629165</v>
      </c>
      <c r="H5" s="20"/>
      <c r="I5" s="20">
        <v>0.71069131804273022</v>
      </c>
      <c r="J5" s="20">
        <v>688305</v>
      </c>
      <c r="K5" s="20"/>
      <c r="L5" s="20">
        <v>0.80164899999833572</v>
      </c>
      <c r="M5" s="20">
        <v>497492</v>
      </c>
      <c r="N5" s="20"/>
      <c r="O5" s="20"/>
      <c r="P5" s="20">
        <v>0.82035210828990801</v>
      </c>
      <c r="Q5" s="20">
        <v>579501</v>
      </c>
      <c r="R5" s="20"/>
      <c r="S5" s="20"/>
      <c r="T5" s="20">
        <v>1.4380483829740927</v>
      </c>
      <c r="U5" s="20">
        <v>420998</v>
      </c>
      <c r="V5" s="20"/>
      <c r="W5" s="20"/>
      <c r="X5" s="20">
        <v>0.74861895468200323</v>
      </c>
      <c r="Y5" s="20">
        <v>522935</v>
      </c>
      <c r="Z5" s="20"/>
      <c r="AA5" s="20"/>
      <c r="AB5" s="20">
        <v>1.3584735781770483</v>
      </c>
      <c r="AC5" s="20">
        <v>377009</v>
      </c>
      <c r="AD5" s="20"/>
      <c r="AE5" s="20"/>
      <c r="AF5" s="20">
        <v>0.89691751012758769</v>
      </c>
      <c r="AG5" s="20">
        <v>435945</v>
      </c>
      <c r="AH5" s="20"/>
      <c r="AI5" s="20"/>
      <c r="AJ5" s="20">
        <v>0.98778139638979134</v>
      </c>
      <c r="AK5" s="20">
        <v>640088</v>
      </c>
      <c r="AL5" s="20"/>
      <c r="AM5" s="20"/>
      <c r="AN5" s="20">
        <v>1.2841291078665951</v>
      </c>
      <c r="AO5" s="20">
        <v>816788</v>
      </c>
      <c r="AP5" s="20"/>
      <c r="AQ5" s="20"/>
      <c r="AR5" s="20">
        <v>0.90959354589454278</v>
      </c>
      <c r="AS5" s="20">
        <v>938698</v>
      </c>
    </row>
    <row r="6" spans="1:46" ht="22.5" customHeight="1" x14ac:dyDescent="0.25">
      <c r="A6" s="54"/>
      <c r="B6" s="19" t="s">
        <v>14</v>
      </c>
      <c r="C6" s="19">
        <v>0.97281538048017424</v>
      </c>
      <c r="D6" s="20">
        <v>102486610</v>
      </c>
      <c r="E6" s="20"/>
      <c r="F6" s="20">
        <v>0.92362148841818903</v>
      </c>
      <c r="G6" s="20">
        <v>86276731</v>
      </c>
      <c r="H6" s="20"/>
      <c r="I6" s="20">
        <v>1.1006135365368022</v>
      </c>
      <c r="J6" s="20">
        <v>100358415</v>
      </c>
      <c r="K6" s="20"/>
      <c r="L6" s="20">
        <v>0.92253011482764335</v>
      </c>
      <c r="M6" s="20">
        <v>92858890</v>
      </c>
      <c r="N6" s="20"/>
      <c r="O6" s="20"/>
      <c r="P6" s="20">
        <v>0.99447612228415438</v>
      </c>
      <c r="Q6" s="20">
        <v>93389605</v>
      </c>
      <c r="R6" s="20"/>
      <c r="S6" s="20"/>
      <c r="T6" s="20">
        <v>0.9336933481665064</v>
      </c>
      <c r="U6" s="20">
        <f>44546527+36849736</f>
        <v>81396263</v>
      </c>
      <c r="V6" s="20"/>
      <c r="W6" s="20"/>
      <c r="X6" s="20">
        <v>1.051033262891041</v>
      </c>
      <c r="Y6" s="20">
        <f>45875827+38954106</f>
        <v>84829933</v>
      </c>
      <c r="Z6" s="20"/>
      <c r="AA6" s="20"/>
      <c r="AB6" s="20">
        <v>0.98443509756313918</v>
      </c>
      <c r="AC6" s="20">
        <f>47507469+45944+41557478+63116</f>
        <v>89174007</v>
      </c>
      <c r="AD6" s="20"/>
      <c r="AE6" s="20"/>
      <c r="AF6" s="20">
        <v>0.95166170270347683</v>
      </c>
      <c r="AG6" s="20">
        <f>44643019+40966250</f>
        <v>85609269</v>
      </c>
      <c r="AH6" s="20"/>
      <c r="AI6" s="20"/>
      <c r="AJ6" s="20">
        <v>1.0879968350712237</v>
      </c>
      <c r="AK6" s="20">
        <f>47639301+43971754</f>
        <v>91611055</v>
      </c>
      <c r="AL6" s="20"/>
      <c r="AM6" s="20"/>
      <c r="AN6" s="20">
        <v>1.0150819327014624</v>
      </c>
      <c r="AO6" s="20">
        <f>49767144+45653052</f>
        <v>95420196</v>
      </c>
      <c r="AP6" s="20"/>
      <c r="AQ6" s="20"/>
      <c r="AR6" s="20">
        <v>1.0490157338282713</v>
      </c>
      <c r="AS6" s="20">
        <f>51066318+47124260+226938</f>
        <v>98417516</v>
      </c>
    </row>
    <row r="7" spans="1:46" ht="22.5" customHeight="1" x14ac:dyDescent="0.25">
      <c r="A7" s="54"/>
      <c r="B7" s="19" t="s">
        <v>15</v>
      </c>
      <c r="C7" s="19">
        <v>0.99433773259707547</v>
      </c>
      <c r="D7" s="20">
        <v>7818062</v>
      </c>
      <c r="E7" s="20"/>
      <c r="F7" s="20">
        <v>0.90397941758479428</v>
      </c>
      <c r="G7" s="20">
        <v>6676742</v>
      </c>
      <c r="H7" s="20"/>
      <c r="I7" s="20">
        <v>1.0468580511555319</v>
      </c>
      <c r="J7" s="20">
        <v>7730182</v>
      </c>
      <c r="K7" s="20"/>
      <c r="L7" s="20">
        <v>0.89074583170280042</v>
      </c>
      <c r="M7" s="20">
        <v>6164884</v>
      </c>
      <c r="N7" s="20"/>
      <c r="O7" s="20"/>
      <c r="P7" s="20">
        <v>1.0344874069036087</v>
      </c>
      <c r="Q7" s="20">
        <v>5944759</v>
      </c>
      <c r="R7" s="20"/>
      <c r="S7" s="20"/>
      <c r="T7" s="20">
        <v>0.99352807211860239</v>
      </c>
      <c r="U7" s="20">
        <f>5036030+182891</f>
        <v>5218921</v>
      </c>
      <c r="V7" s="20"/>
      <c r="W7" s="20"/>
      <c r="X7" s="20">
        <v>0.80443641086304085</v>
      </c>
      <c r="Y7" s="20">
        <f>5454550+303104</f>
        <v>5757654</v>
      </c>
      <c r="Z7" s="20"/>
      <c r="AA7" s="20"/>
      <c r="AB7" s="20">
        <v>1.0655868124563104</v>
      </c>
      <c r="AC7" s="20">
        <f>4996291+26610+116976</f>
        <v>5139877</v>
      </c>
      <c r="AD7" s="20"/>
      <c r="AE7" s="20"/>
      <c r="AF7" s="20">
        <v>1.0164149653157573</v>
      </c>
      <c r="AG7" s="20">
        <f>4669786+173224</f>
        <v>4843010</v>
      </c>
      <c r="AH7" s="20"/>
      <c r="AI7" s="20"/>
      <c r="AJ7" s="20">
        <v>1.1697718508574175</v>
      </c>
      <c r="AK7" s="20">
        <f>5865289+467778</f>
        <v>6333067</v>
      </c>
      <c r="AL7" s="20"/>
      <c r="AM7" s="20"/>
      <c r="AN7" s="20">
        <v>1.0059912262242861</v>
      </c>
      <c r="AO7" s="20">
        <f>5852489+1052320</f>
        <v>6904809</v>
      </c>
      <c r="AP7" s="20"/>
      <c r="AQ7" s="20"/>
      <c r="AR7" s="20">
        <v>1.1239006335380197</v>
      </c>
      <c r="AS7" s="20">
        <f>5568457+1103360+140429</f>
        <v>6812246</v>
      </c>
    </row>
    <row r="8" spans="1:46" ht="22.5" customHeight="1" x14ac:dyDescent="0.25">
      <c r="A8" s="54"/>
      <c r="B8" s="19" t="s">
        <v>16</v>
      </c>
      <c r="C8" s="19">
        <v>0.95535988796829474</v>
      </c>
      <c r="D8" s="20">
        <v>599725</v>
      </c>
      <c r="E8" s="20"/>
      <c r="F8" s="20">
        <v>0.90123079989535715</v>
      </c>
      <c r="G8" s="20">
        <v>436692</v>
      </c>
      <c r="H8" s="20"/>
      <c r="I8" s="20">
        <v>1.2870547634351379</v>
      </c>
      <c r="J8" s="20">
        <v>429516</v>
      </c>
      <c r="K8" s="20"/>
      <c r="L8" s="20">
        <v>0.50536096572561884</v>
      </c>
      <c r="M8" s="20">
        <v>314831</v>
      </c>
      <c r="N8" s="20"/>
      <c r="O8" s="20"/>
      <c r="P8" s="20">
        <v>0.67473408682777891</v>
      </c>
      <c r="Q8" s="20">
        <v>233197</v>
      </c>
      <c r="R8" s="20"/>
      <c r="S8" s="20"/>
      <c r="T8" s="20">
        <v>4.743906728189945E-2</v>
      </c>
      <c r="U8" s="20">
        <f>1263161+162681</f>
        <v>1425842</v>
      </c>
      <c r="V8" s="20"/>
      <c r="W8" s="20"/>
      <c r="X8" s="20">
        <f>U8/Q8</f>
        <v>6.1143239407024961</v>
      </c>
      <c r="Y8" s="20">
        <f>1422709+97022</f>
        <v>1519731</v>
      </c>
      <c r="Z8" s="20"/>
      <c r="AA8" s="20"/>
      <c r="AB8" s="20">
        <v>1.0700189143856393</v>
      </c>
      <c r="AC8" s="20">
        <f>1645724+137574+1</f>
        <v>1783299</v>
      </c>
      <c r="AD8" s="20"/>
      <c r="AE8" s="20"/>
      <c r="AF8" s="20">
        <v>1.3106093452956675</v>
      </c>
      <c r="AG8" s="20">
        <f>1427351+192593</f>
        <v>1619944</v>
      </c>
      <c r="AH8" s="20"/>
      <c r="AI8" s="20"/>
      <c r="AJ8" s="20">
        <v>1.6566444421824105</v>
      </c>
      <c r="AK8" s="20">
        <f>1995814+389697</f>
        <v>2385511</v>
      </c>
      <c r="AL8" s="20"/>
      <c r="AM8" s="20"/>
      <c r="AN8" s="20">
        <v>1.4831527123864239</v>
      </c>
      <c r="AO8" s="20">
        <f>2132088+563993</f>
        <v>2696081</v>
      </c>
      <c r="AP8" s="20"/>
      <c r="AQ8" s="20"/>
      <c r="AR8" s="20">
        <v>0.93497579037311307</v>
      </c>
      <c r="AS8" s="20">
        <f>2281591+190961+512858</f>
        <v>2985410</v>
      </c>
    </row>
    <row r="9" spans="1:46" ht="22.5" customHeight="1" x14ac:dyDescent="0.25">
      <c r="A9" s="54"/>
      <c r="B9" s="19" t="s">
        <v>17</v>
      </c>
      <c r="C9" s="19">
        <v>0.82764876632801165</v>
      </c>
      <c r="D9" s="20">
        <v>24954</v>
      </c>
      <c r="E9" s="20"/>
      <c r="F9" s="20">
        <v>0.99517755370451555</v>
      </c>
      <c r="G9" s="20">
        <v>21705</v>
      </c>
      <c r="H9" s="20"/>
      <c r="I9" s="20">
        <v>0.79799314733235438</v>
      </c>
      <c r="J9" s="20">
        <v>22127</v>
      </c>
      <c r="K9" s="20"/>
      <c r="L9" s="20">
        <v>0.90085669304218041</v>
      </c>
      <c r="M9" s="20">
        <v>19669</v>
      </c>
      <c r="N9" s="20"/>
      <c r="O9" s="20"/>
      <c r="P9" s="20">
        <v>0.72215161143894691</v>
      </c>
      <c r="Q9" s="20">
        <v>16013</v>
      </c>
      <c r="R9" s="20"/>
      <c r="S9" s="20"/>
      <c r="T9" s="20">
        <v>0.86523351562008921</v>
      </c>
      <c r="U9" s="20">
        <v>15756</v>
      </c>
      <c r="V9" s="20"/>
      <c r="W9" s="20"/>
      <c r="X9" s="20">
        <v>0.59680348710497644</v>
      </c>
      <c r="Y9" s="20">
        <v>15319</v>
      </c>
      <c r="Z9" s="20"/>
      <c r="AA9" s="20"/>
      <c r="AB9" s="20">
        <v>0.9027388922702374</v>
      </c>
      <c r="AC9" s="20">
        <v>13951</v>
      </c>
      <c r="AD9" s="20"/>
      <c r="AE9" s="20"/>
      <c r="AF9" s="20">
        <v>1.1511596548004315</v>
      </c>
      <c r="AG9" s="20">
        <v>12762</v>
      </c>
      <c r="AH9" s="20"/>
      <c r="AI9" s="20"/>
      <c r="AJ9" s="20">
        <v>1.1854281363476631</v>
      </c>
      <c r="AK9" s="20">
        <v>20203</v>
      </c>
      <c r="AL9" s="20"/>
      <c r="AM9" s="20"/>
      <c r="AN9" s="20">
        <v>0.95741106719367586</v>
      </c>
      <c r="AO9" s="20">
        <v>21659</v>
      </c>
      <c r="AP9" s="20"/>
      <c r="AQ9" s="20"/>
      <c r="AR9" s="20">
        <v>1.2294870471668904</v>
      </c>
      <c r="AS9" s="20">
        <v>22190</v>
      </c>
    </row>
    <row r="10" spans="1:46" ht="22.5" customHeight="1" x14ac:dyDescent="0.25">
      <c r="A10" s="54"/>
      <c r="B10" s="55" t="s">
        <v>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7"/>
    </row>
    <row r="11" spans="1:46" ht="22.5" customHeight="1" x14ac:dyDescent="0.25">
      <c r="A11" s="54"/>
      <c r="B11" s="20" t="s">
        <v>29</v>
      </c>
      <c r="C11" s="20">
        <v>1.7435424354243543</v>
      </c>
      <c r="D11" s="20">
        <v>1066</v>
      </c>
      <c r="E11" s="20"/>
      <c r="F11" s="20">
        <v>1.055026455026455</v>
      </c>
      <c r="G11" s="20">
        <v>953</v>
      </c>
      <c r="H11" s="20"/>
      <c r="I11" s="20">
        <v>0.75325977933801402</v>
      </c>
      <c r="J11" s="20">
        <v>901</v>
      </c>
      <c r="K11" s="20"/>
      <c r="L11" s="20">
        <v>2.8641810918774966</v>
      </c>
      <c r="M11" s="20">
        <v>3112</v>
      </c>
      <c r="N11" s="20"/>
      <c r="O11" s="20"/>
      <c r="P11" s="20">
        <v>1.6118084611808461</v>
      </c>
      <c r="Q11" s="20">
        <v>4925</v>
      </c>
      <c r="R11" s="20"/>
      <c r="S11" s="20"/>
      <c r="T11" s="20">
        <v>1.3703490049033746</v>
      </c>
      <c r="U11" s="20">
        <v>6323</v>
      </c>
      <c r="V11" s="20"/>
      <c r="W11" s="20"/>
      <c r="X11" s="20">
        <v>0.17259524310671437</v>
      </c>
      <c r="Y11" s="20">
        <v>3963</v>
      </c>
      <c r="Z11" s="20"/>
      <c r="AA11" s="20"/>
      <c r="AB11" s="20">
        <v>0.95121951219512191</v>
      </c>
      <c r="AC11" s="20">
        <f>2375+902</f>
        <v>3277</v>
      </c>
      <c r="AD11" s="20"/>
      <c r="AE11" s="20"/>
      <c r="AF11" s="20">
        <v>1.2025641025641025</v>
      </c>
      <c r="AG11" s="20">
        <v>5753</v>
      </c>
      <c r="AH11" s="20"/>
      <c r="AI11" s="20"/>
      <c r="AJ11" s="20">
        <v>1.0490405117270789</v>
      </c>
      <c r="AK11" s="20">
        <v>4445</v>
      </c>
      <c r="AL11" s="20"/>
      <c r="AM11" s="20"/>
      <c r="AN11" s="20">
        <v>0.91768292682926833</v>
      </c>
      <c r="AO11" s="20">
        <v>8069</v>
      </c>
      <c r="AP11" s="20"/>
      <c r="AQ11" s="20"/>
      <c r="AR11" s="20">
        <v>1.3554817275747508</v>
      </c>
      <c r="AS11" s="20">
        <v>8397</v>
      </c>
    </row>
    <row r="12" spans="1:46" ht="22.5" customHeight="1" x14ac:dyDescent="0.25">
      <c r="A12" s="49" t="s">
        <v>18</v>
      </c>
      <c r="B12" s="50"/>
      <c r="C12" s="40"/>
      <c r="D12" s="10">
        <f>SUM(D5:D9,D11)</f>
        <v>111623070</v>
      </c>
      <c r="E12" s="10">
        <f t="shared" ref="E12:AS12" si="0">SUM(E5:E9,E11)</f>
        <v>0</v>
      </c>
      <c r="F12" s="10"/>
      <c r="G12" s="10">
        <f t="shared" si="0"/>
        <v>94041988</v>
      </c>
      <c r="H12" s="10">
        <f t="shared" si="0"/>
        <v>0</v>
      </c>
      <c r="I12" s="10"/>
      <c r="J12" s="10">
        <f t="shared" si="0"/>
        <v>109229446</v>
      </c>
      <c r="K12" s="10">
        <f t="shared" si="0"/>
        <v>0</v>
      </c>
      <c r="L12" s="10"/>
      <c r="M12" s="10">
        <f t="shared" si="0"/>
        <v>99858878</v>
      </c>
      <c r="N12" s="10">
        <f t="shared" si="0"/>
        <v>0</v>
      </c>
      <c r="O12" s="10">
        <f t="shared" si="0"/>
        <v>0</v>
      </c>
      <c r="P12" s="10"/>
      <c r="Q12" s="10">
        <f t="shared" si="0"/>
        <v>100168000</v>
      </c>
      <c r="R12" s="10">
        <f t="shared" si="0"/>
        <v>0</v>
      </c>
      <c r="S12" s="10">
        <f t="shared" si="0"/>
        <v>0</v>
      </c>
      <c r="T12" s="10"/>
      <c r="U12" s="10">
        <f t="shared" si="0"/>
        <v>88484103</v>
      </c>
      <c r="V12" s="10">
        <f t="shared" si="0"/>
        <v>0</v>
      </c>
      <c r="W12" s="10">
        <f t="shared" si="0"/>
        <v>0</v>
      </c>
      <c r="X12" s="10"/>
      <c r="Y12" s="10">
        <f t="shared" si="0"/>
        <v>92649535</v>
      </c>
      <c r="Z12" s="10">
        <f t="shared" si="0"/>
        <v>0</v>
      </c>
      <c r="AA12" s="10">
        <f t="shared" si="0"/>
        <v>0</v>
      </c>
      <c r="AB12" s="10"/>
      <c r="AC12" s="10">
        <f t="shared" si="0"/>
        <v>96491420</v>
      </c>
      <c r="AD12" s="10">
        <f t="shared" si="0"/>
        <v>0</v>
      </c>
      <c r="AE12" s="10">
        <f t="shared" si="0"/>
        <v>0</v>
      </c>
      <c r="AF12" s="10"/>
      <c r="AG12" s="10">
        <f t="shared" si="0"/>
        <v>92526683</v>
      </c>
      <c r="AH12" s="10">
        <f t="shared" si="0"/>
        <v>0</v>
      </c>
      <c r="AI12" s="10">
        <f t="shared" si="0"/>
        <v>0</v>
      </c>
      <c r="AJ12" s="10"/>
      <c r="AK12" s="10">
        <f t="shared" si="0"/>
        <v>100994369</v>
      </c>
      <c r="AL12" s="10">
        <f t="shared" si="0"/>
        <v>0</v>
      </c>
      <c r="AM12" s="10">
        <f t="shared" si="0"/>
        <v>0</v>
      </c>
      <c r="AN12" s="10"/>
      <c r="AO12" s="10">
        <f t="shared" si="0"/>
        <v>105867602</v>
      </c>
      <c r="AP12" s="10">
        <f t="shared" si="0"/>
        <v>0</v>
      </c>
      <c r="AQ12" s="10">
        <f t="shared" si="0"/>
        <v>0</v>
      </c>
      <c r="AR12" s="10"/>
      <c r="AS12" s="10">
        <f t="shared" si="0"/>
        <v>109184457</v>
      </c>
    </row>
    <row r="14" spans="1:46" ht="40.5" customHeight="1" x14ac:dyDescent="0.25">
      <c r="B14" s="25"/>
      <c r="C14" s="2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41"/>
      <c r="AA14" s="41"/>
      <c r="AB14" s="42"/>
      <c r="AK14" s="21"/>
      <c r="AL14" s="21"/>
      <c r="AM14" s="21"/>
      <c r="AN14" s="21"/>
      <c r="AS14" s="28"/>
    </row>
    <row r="15" spans="1:46" ht="40.5" customHeight="1" x14ac:dyDescent="0.3">
      <c r="B15" s="25"/>
      <c r="C15" s="25"/>
      <c r="D15" s="31"/>
      <c r="E15" s="31"/>
      <c r="F15" s="3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2"/>
      <c r="AD15" s="32"/>
      <c r="AE15" s="32"/>
      <c r="AF15" s="32"/>
      <c r="AG15" s="13"/>
      <c r="AH15" s="13"/>
      <c r="AI15" s="13"/>
      <c r="AJ15" s="13"/>
      <c r="AK15" s="21"/>
      <c r="AL15" s="21"/>
      <c r="AM15" s="21"/>
      <c r="AN15" s="21"/>
      <c r="AS15" s="28"/>
    </row>
    <row r="16" spans="1:46" ht="22.5" customHeight="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3"/>
      <c r="Z16" s="33"/>
      <c r="AA16" s="33"/>
      <c r="AB16" s="33"/>
      <c r="AC16" s="13"/>
      <c r="AD16" s="13"/>
      <c r="AE16" s="13"/>
      <c r="AF16" s="13"/>
      <c r="AG16" s="13"/>
      <c r="AH16" s="13"/>
      <c r="AI16" s="13"/>
      <c r="AJ16" s="13"/>
      <c r="AK16" s="21"/>
      <c r="AL16" s="21"/>
      <c r="AM16" s="21"/>
      <c r="AN16" s="21"/>
      <c r="AO16" s="29"/>
      <c r="AP16" s="29"/>
      <c r="AQ16" s="29"/>
      <c r="AR16" s="29"/>
      <c r="AS16" s="28"/>
    </row>
    <row r="17" spans="2:45" ht="22.5" customHeight="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AG17" s="13"/>
      <c r="AH17" s="13"/>
      <c r="AI17" s="13"/>
      <c r="AJ17" s="13"/>
      <c r="AK17" s="21"/>
      <c r="AL17" s="21"/>
      <c r="AM17" s="21"/>
      <c r="AN17" s="21"/>
      <c r="AO17" s="29"/>
      <c r="AP17" s="29"/>
      <c r="AQ17" s="29"/>
      <c r="AR17" s="29"/>
    </row>
    <row r="18" spans="2:45" ht="22.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AK18" s="21"/>
      <c r="AL18" s="21"/>
      <c r="AM18" s="21"/>
      <c r="AN18" s="21"/>
      <c r="AO18" s="29"/>
      <c r="AP18" s="29"/>
      <c r="AQ18" s="29"/>
      <c r="AR18" s="29"/>
    </row>
    <row r="19" spans="2:45" ht="22.5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3"/>
      <c r="Z19" s="33"/>
      <c r="AA19" s="33"/>
      <c r="AB19" s="33"/>
      <c r="AC19" s="13"/>
      <c r="AD19" s="13"/>
      <c r="AE19" s="13"/>
      <c r="AF19" s="13"/>
      <c r="AG19" s="13"/>
      <c r="AH19" s="13"/>
      <c r="AI19" s="13"/>
      <c r="AJ19" s="13"/>
      <c r="AK19" s="21"/>
      <c r="AL19" s="21"/>
      <c r="AM19" s="21"/>
      <c r="AN19" s="21"/>
      <c r="AO19" s="29"/>
      <c r="AP19" s="29"/>
      <c r="AQ19" s="29"/>
      <c r="AR19" s="29"/>
    </row>
    <row r="20" spans="2:45" ht="22.5" customHeight="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3"/>
      <c r="Z20" s="33"/>
      <c r="AA20" s="33"/>
      <c r="AB20" s="33"/>
      <c r="AC20" s="21"/>
      <c r="AD20" s="21"/>
      <c r="AE20" s="21"/>
      <c r="AF20" s="21"/>
      <c r="AK20" s="21"/>
      <c r="AL20" s="21"/>
      <c r="AM20" s="21"/>
      <c r="AN20" s="21"/>
      <c r="AS20" s="28"/>
    </row>
    <row r="21" spans="2:45" ht="22.5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33"/>
      <c r="Z21" s="33"/>
      <c r="AA21" s="33"/>
      <c r="AB21" s="33"/>
      <c r="AC21" s="21"/>
      <c r="AD21" s="21"/>
      <c r="AE21" s="21"/>
      <c r="AF21" s="21"/>
      <c r="AK21" s="21"/>
      <c r="AL21" s="21"/>
      <c r="AM21" s="21"/>
      <c r="AN21" s="21"/>
    </row>
    <row r="22" spans="2:45" ht="22.5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33"/>
      <c r="Z22" s="33"/>
      <c r="AA22" s="33"/>
      <c r="AB22" s="33"/>
      <c r="AC22" s="21"/>
      <c r="AD22" s="21"/>
      <c r="AE22" s="21"/>
      <c r="AF22" s="21"/>
      <c r="AK22" s="21"/>
      <c r="AL22" s="21"/>
      <c r="AM22" s="21"/>
      <c r="AN22" s="21"/>
    </row>
    <row r="23" spans="2:45" ht="22.5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3"/>
      <c r="Z23" s="33"/>
      <c r="AA23" s="33"/>
      <c r="AB23" s="33"/>
      <c r="AC23" s="21"/>
      <c r="AD23" s="21"/>
      <c r="AE23" s="21"/>
      <c r="AF23" s="21"/>
      <c r="AK23" s="21"/>
      <c r="AL23" s="21"/>
      <c r="AM23" s="21"/>
      <c r="AN23" s="21"/>
    </row>
    <row r="24" spans="2:45" ht="22.5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33"/>
      <c r="Z24" s="33"/>
      <c r="AA24" s="33"/>
      <c r="AB24" s="33"/>
      <c r="AC24" s="21"/>
      <c r="AD24" s="21"/>
      <c r="AE24" s="21"/>
      <c r="AF24" s="21"/>
      <c r="AK24" s="21"/>
      <c r="AL24" s="21"/>
      <c r="AM24" s="21"/>
      <c r="AN24" s="21"/>
    </row>
    <row r="25" spans="2:45" ht="22.5" customHeight="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33"/>
      <c r="Z25" s="33"/>
      <c r="AA25" s="33"/>
      <c r="AB25" s="33"/>
      <c r="AC25" s="21"/>
      <c r="AD25" s="21"/>
      <c r="AE25" s="21"/>
      <c r="AF25" s="21"/>
      <c r="AK25" s="21"/>
      <c r="AL25" s="21"/>
      <c r="AM25" s="21"/>
      <c r="AN25" s="21"/>
    </row>
    <row r="26" spans="2:45" ht="22.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33"/>
      <c r="Z26" s="33"/>
      <c r="AA26" s="33"/>
      <c r="AB26" s="33"/>
      <c r="AC26" s="21"/>
      <c r="AD26" s="21"/>
      <c r="AE26" s="21"/>
      <c r="AF26" s="21"/>
      <c r="AK26" s="22"/>
      <c r="AL26" s="22"/>
      <c r="AM26" s="22"/>
      <c r="AN26" s="22"/>
    </row>
    <row r="27" spans="2:45" ht="22.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33"/>
      <c r="Z27" s="33"/>
      <c r="AA27" s="33"/>
      <c r="AB27" s="33"/>
      <c r="AC27" s="21"/>
      <c r="AD27" s="21"/>
      <c r="AE27" s="21"/>
      <c r="AF27" s="21"/>
    </row>
    <row r="28" spans="2:45" ht="22.5" customHeight="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33"/>
      <c r="Z28" s="33"/>
      <c r="AA28" s="33"/>
      <c r="AB28" s="33"/>
      <c r="AC28" s="22"/>
      <c r="AD28" s="22"/>
      <c r="AE28" s="22"/>
      <c r="AF28" s="22"/>
    </row>
  </sheetData>
  <mergeCells count="6">
    <mergeCell ref="D14:Y14"/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C1" zoomScale="85" zoomScaleNormal="85" workbookViewId="0">
      <selection activeCell="N9" sqref="N9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5" width="20.140625" style="1" customWidth="1"/>
    <col min="6" max="6" width="13.7109375" style="1" customWidth="1"/>
    <col min="7" max="14" width="20.140625" style="1" customWidth="1"/>
    <col min="15" max="16384" width="9.140625" style="1"/>
  </cols>
  <sheetData>
    <row r="2" spans="1:14" ht="42.75" customHeight="1" x14ac:dyDescent="0.2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1:14" ht="22.5" customHeight="1" x14ac:dyDescent="0.25">
      <c r="A4" s="53" t="s">
        <v>34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2.5" customHeight="1" x14ac:dyDescent="0.25">
      <c r="A5" s="54"/>
      <c r="B5" s="20" t="s">
        <v>21</v>
      </c>
      <c r="C5" s="20">
        <v>838196</v>
      </c>
      <c r="D5" s="20">
        <v>828609</v>
      </c>
      <c r="E5" s="20">
        <v>811214</v>
      </c>
      <c r="F5" s="20">
        <v>654557</v>
      </c>
      <c r="G5" s="20">
        <v>622152</v>
      </c>
      <c r="H5" s="20">
        <v>595304</v>
      </c>
      <c r="I5" s="20">
        <v>639121</v>
      </c>
      <c r="J5" s="20">
        <v>524469</v>
      </c>
      <c r="K5" s="20">
        <v>522877</v>
      </c>
      <c r="L5" s="20">
        <v>665142</v>
      </c>
      <c r="M5" s="20">
        <v>787666</v>
      </c>
      <c r="N5" s="20">
        <v>895496</v>
      </c>
    </row>
    <row r="6" spans="1:14" ht="22.5" customHeight="1" x14ac:dyDescent="0.25">
      <c r="A6" s="54"/>
      <c r="B6" s="19" t="s">
        <v>14</v>
      </c>
      <c r="C6" s="20">
        <f>51490734+47152113</f>
        <v>98642847</v>
      </c>
      <c r="D6" s="20">
        <f>45182014+43041354</f>
        <v>88223368</v>
      </c>
      <c r="E6" s="20">
        <f>49397867+47148793</f>
        <v>96546660</v>
      </c>
      <c r="F6" s="20">
        <f>60867083+28467882</f>
        <v>89334965</v>
      </c>
      <c r="G6" s="20">
        <f>62512628+26949131</f>
        <v>89461759</v>
      </c>
      <c r="H6" s="20">
        <f>60383785+25898366</f>
        <v>86282151</v>
      </c>
      <c r="I6" s="20">
        <f>60636366+26238282+35236</f>
        <v>86909884</v>
      </c>
      <c r="J6" s="20">
        <f>57824910+26457933+38764</f>
        <v>84321607</v>
      </c>
      <c r="K6" s="20">
        <f>58525054+26146088</f>
        <v>84671142</v>
      </c>
      <c r="L6" s="20">
        <f>63448169+29242978+112601</f>
        <v>92803748</v>
      </c>
      <c r="M6" s="20">
        <f>63076302+30247007</f>
        <v>93323309</v>
      </c>
      <c r="N6" s="20">
        <f>61963751+34338459+179883</f>
        <v>96482093</v>
      </c>
    </row>
    <row r="7" spans="1:14" ht="22.5" customHeight="1" x14ac:dyDescent="0.25">
      <c r="A7" s="54"/>
      <c r="B7" s="19" t="s">
        <v>15</v>
      </c>
      <c r="C7" s="20">
        <f>5627693+942319</f>
        <v>6570012</v>
      </c>
      <c r="D7" s="20">
        <f>5521334+756681</f>
        <v>6278015</v>
      </c>
      <c r="E7" s="20">
        <f>5590620+883296</f>
        <v>6473916</v>
      </c>
      <c r="F7" s="20">
        <f>6082718+390425</f>
        <v>6473143</v>
      </c>
      <c r="G7" s="20">
        <f>6204279+563736</f>
        <v>6768015</v>
      </c>
      <c r="H7" s="20">
        <f>5887660+52559</f>
        <v>5940219</v>
      </c>
      <c r="I7" s="20">
        <f>6105025+1+2683</f>
        <v>6107709</v>
      </c>
      <c r="J7" s="20">
        <f>6838630+1+19669</f>
        <v>6858300</v>
      </c>
      <c r="K7" s="20">
        <f>5327151+42216</f>
        <v>5369367</v>
      </c>
      <c r="L7" s="20">
        <f>5904789+322902+109920</f>
        <v>6337611</v>
      </c>
      <c r="M7" s="20">
        <f>5846903+520727</f>
        <v>6367630</v>
      </c>
      <c r="N7" s="20">
        <f>6206711+950482+188908</f>
        <v>7346101</v>
      </c>
    </row>
    <row r="8" spans="1:14" ht="22.5" customHeight="1" x14ac:dyDescent="0.25">
      <c r="A8" s="54"/>
      <c r="B8" s="19" t="s">
        <v>16</v>
      </c>
      <c r="C8" s="20">
        <f>2304689+742568</f>
        <v>3047257</v>
      </c>
      <c r="D8" s="20">
        <f>1982263+579610</f>
        <v>2561873</v>
      </c>
      <c r="E8" s="20">
        <f>2244876+571717</f>
        <v>2816593</v>
      </c>
      <c r="F8" s="20">
        <f>1854868+347932</f>
        <v>2202800</v>
      </c>
      <c r="G8" s="20">
        <f>1955513+195317</f>
        <v>2150830</v>
      </c>
      <c r="H8" s="20">
        <f>1678473+75060</f>
        <v>1753533</v>
      </c>
      <c r="I8" s="20">
        <f>1843809+1+65695</f>
        <v>1909505</v>
      </c>
      <c r="J8" s="20">
        <f>1996581+7144+94347</f>
        <v>2098072</v>
      </c>
      <c r="K8" s="20">
        <f>1874139+163076</f>
        <v>2037215</v>
      </c>
      <c r="L8" s="20">
        <f>2049294+108096+219194</f>
        <v>2376584</v>
      </c>
      <c r="M8" s="20">
        <f>2252238+447197</f>
        <v>2699435</v>
      </c>
      <c r="N8" s="20">
        <f>2322153+203896+493170</f>
        <v>3019219</v>
      </c>
    </row>
    <row r="9" spans="1:14" ht="22.5" customHeight="1" x14ac:dyDescent="0.25">
      <c r="A9" s="54"/>
      <c r="B9" s="19" t="s">
        <v>17</v>
      </c>
      <c r="C9" s="20">
        <v>22967</v>
      </c>
      <c r="D9" s="20">
        <v>21302</v>
      </c>
      <c r="E9" s="20">
        <v>17613</v>
      </c>
      <c r="F9" s="20">
        <v>17541</v>
      </c>
      <c r="G9" s="20">
        <v>10251</v>
      </c>
      <c r="H9" s="20">
        <v>10227</v>
      </c>
      <c r="I9" s="20">
        <v>15864</v>
      </c>
      <c r="J9" s="20">
        <v>13874</v>
      </c>
      <c r="K9" s="20">
        <v>17215</v>
      </c>
      <c r="L9" s="20">
        <v>16948</v>
      </c>
      <c r="M9" s="20">
        <v>22667</v>
      </c>
      <c r="N9" s="20">
        <v>26464</v>
      </c>
    </row>
    <row r="10" spans="1:14" ht="22.5" customHeight="1" x14ac:dyDescent="0.25">
      <c r="A10" s="54"/>
      <c r="B10" s="55" t="s">
        <v>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22.5" customHeight="1" x14ac:dyDescent="0.25">
      <c r="A11" s="54"/>
      <c r="B11" s="20" t="s">
        <v>29</v>
      </c>
      <c r="C11" s="20">
        <v>6517</v>
      </c>
      <c r="D11" s="20">
        <v>8252</v>
      </c>
      <c r="E11" s="20">
        <v>6526</v>
      </c>
      <c r="F11" s="20">
        <v>7810</v>
      </c>
      <c r="G11" s="20">
        <v>5517</v>
      </c>
      <c r="H11" s="20">
        <v>5646</v>
      </c>
      <c r="I11" s="20">
        <v>4819</v>
      </c>
      <c r="J11" s="20">
        <v>5071</v>
      </c>
      <c r="K11" s="20">
        <v>7466</v>
      </c>
      <c r="L11" s="20">
        <v>6931</v>
      </c>
      <c r="M11" s="20">
        <v>7030</v>
      </c>
      <c r="N11" s="20">
        <v>6867</v>
      </c>
    </row>
    <row r="12" spans="1:14" ht="22.5" customHeight="1" x14ac:dyDescent="0.25">
      <c r="A12" s="49" t="s">
        <v>18</v>
      </c>
      <c r="B12" s="50"/>
      <c r="C12" s="10">
        <f>SUM(C5:C9,C11)</f>
        <v>109127796</v>
      </c>
      <c r="D12" s="10">
        <f>SUM(D5:D9,D11)</f>
        <v>97921419</v>
      </c>
      <c r="E12" s="10">
        <f t="shared" ref="E12:N12" si="0">SUM(E5:E9,E11)</f>
        <v>106672522</v>
      </c>
      <c r="F12" s="10">
        <f t="shared" si="0"/>
        <v>98690816</v>
      </c>
      <c r="G12" s="10">
        <f t="shared" si="0"/>
        <v>99018524</v>
      </c>
      <c r="H12" s="10">
        <f t="shared" si="0"/>
        <v>94587080</v>
      </c>
      <c r="I12" s="10">
        <f t="shared" si="0"/>
        <v>95586902</v>
      </c>
      <c r="J12" s="10">
        <f t="shared" si="0"/>
        <v>93821393</v>
      </c>
      <c r="K12" s="10">
        <f t="shared" si="0"/>
        <v>92625282</v>
      </c>
      <c r="L12" s="10">
        <f t="shared" si="0"/>
        <v>102206964</v>
      </c>
      <c r="M12" s="10">
        <f t="shared" si="0"/>
        <v>103207737</v>
      </c>
      <c r="N12" s="10">
        <f t="shared" si="0"/>
        <v>107776240</v>
      </c>
    </row>
    <row r="14" spans="1:14" ht="40.5" customHeight="1" x14ac:dyDescent="0.25">
      <c r="B14" s="25"/>
      <c r="C14" s="58"/>
      <c r="D14" s="58"/>
      <c r="E14" s="58"/>
      <c r="F14" s="58"/>
      <c r="G14" s="58"/>
      <c r="H14" s="58"/>
      <c r="I14" s="58"/>
      <c r="L14" s="21"/>
      <c r="N14" s="28"/>
    </row>
    <row r="15" spans="1:14" ht="40.5" customHeight="1" x14ac:dyDescent="0.3">
      <c r="B15" s="25"/>
      <c r="C15" s="31"/>
      <c r="D15" s="30"/>
      <c r="E15" s="30"/>
      <c r="F15" s="30"/>
      <c r="G15" s="30"/>
      <c r="H15" s="30"/>
      <c r="I15" s="30"/>
      <c r="J15" s="32"/>
      <c r="K15" s="13"/>
      <c r="L15" s="21"/>
      <c r="N15" s="28"/>
    </row>
    <row r="16" spans="1:14" ht="22.5" customHeight="1" x14ac:dyDescent="0.25">
      <c r="B16" s="25"/>
      <c r="C16" s="25"/>
      <c r="D16" s="25"/>
      <c r="E16" s="25"/>
      <c r="F16" s="25"/>
      <c r="G16" s="25"/>
      <c r="H16" s="25"/>
      <c r="I16" s="33"/>
      <c r="J16" s="13"/>
      <c r="K16" s="13"/>
      <c r="L16" s="21"/>
      <c r="M16" s="29"/>
      <c r="N16" s="28"/>
    </row>
    <row r="17" spans="2:14" ht="22.5" customHeight="1" x14ac:dyDescent="0.25">
      <c r="B17" s="25"/>
      <c r="C17" s="25"/>
      <c r="D17" s="25"/>
      <c r="E17" s="25"/>
      <c r="F17" s="25"/>
      <c r="G17" s="25"/>
      <c r="H17" s="25"/>
      <c r="K17" s="13"/>
      <c r="L17" s="21"/>
      <c r="M17" s="29"/>
    </row>
    <row r="18" spans="2:14" ht="22.5" customHeight="1" x14ac:dyDescent="0.25">
      <c r="B18" s="25"/>
      <c r="C18" s="25"/>
      <c r="D18" s="25"/>
      <c r="E18" s="25"/>
      <c r="F18" s="25"/>
      <c r="G18" s="25"/>
      <c r="H18" s="25"/>
      <c r="L18" s="21"/>
      <c r="M18" s="29"/>
    </row>
    <row r="19" spans="2:14" ht="22.5" customHeight="1" x14ac:dyDescent="0.25">
      <c r="B19" s="25"/>
      <c r="C19" s="25"/>
      <c r="D19" s="25"/>
      <c r="E19" s="25"/>
      <c r="F19" s="25"/>
      <c r="G19" s="25"/>
      <c r="H19" s="25"/>
      <c r="I19" s="33"/>
      <c r="J19" s="13"/>
      <c r="K19" s="13"/>
      <c r="L19" s="21"/>
      <c r="M19" s="29"/>
    </row>
    <row r="20" spans="2:14" ht="22.5" customHeight="1" x14ac:dyDescent="0.25">
      <c r="B20" s="25"/>
      <c r="C20" s="25"/>
      <c r="D20" s="25"/>
      <c r="E20" s="25"/>
      <c r="F20" s="25"/>
      <c r="G20" s="25"/>
      <c r="H20" s="25"/>
      <c r="I20" s="33"/>
      <c r="J20" s="21"/>
      <c r="L20" s="21"/>
      <c r="N20" s="28"/>
    </row>
    <row r="21" spans="2:14" ht="22.5" customHeight="1" x14ac:dyDescent="0.25">
      <c r="B21" s="25"/>
      <c r="C21" s="25"/>
      <c r="D21" s="25"/>
      <c r="E21" s="25"/>
      <c r="F21" s="25"/>
      <c r="G21" s="25"/>
      <c r="H21" s="25"/>
      <c r="I21" s="33"/>
      <c r="J21" s="21"/>
      <c r="L21" s="21"/>
    </row>
    <row r="22" spans="2:14" ht="22.5" customHeight="1" x14ac:dyDescent="0.25">
      <c r="B22" s="25"/>
      <c r="C22" s="25"/>
      <c r="D22" s="25"/>
      <c r="E22" s="25"/>
      <c r="F22" s="25"/>
      <c r="G22" s="25"/>
      <c r="H22" s="25"/>
      <c r="I22" s="33"/>
      <c r="J22" s="21"/>
      <c r="L22" s="21"/>
    </row>
    <row r="23" spans="2:14" ht="22.5" customHeight="1" x14ac:dyDescent="0.25">
      <c r="B23" s="25"/>
      <c r="C23" s="25"/>
      <c r="D23" s="25"/>
      <c r="E23" s="25"/>
      <c r="F23" s="25"/>
      <c r="G23" s="25"/>
      <c r="H23" s="25"/>
      <c r="I23" s="33"/>
      <c r="J23" s="21"/>
      <c r="L23" s="21"/>
    </row>
    <row r="24" spans="2:14" ht="22.5" customHeight="1" x14ac:dyDescent="0.25">
      <c r="B24" s="25"/>
      <c r="C24" s="25"/>
      <c r="D24" s="25"/>
      <c r="E24" s="25"/>
      <c r="F24" s="25"/>
      <c r="G24" s="25"/>
      <c r="H24" s="25"/>
      <c r="I24" s="33"/>
      <c r="J24" s="21"/>
      <c r="L24" s="21"/>
    </row>
    <row r="25" spans="2:14" ht="22.5" customHeight="1" x14ac:dyDescent="0.25">
      <c r="B25" s="25"/>
      <c r="C25" s="25"/>
      <c r="D25" s="25"/>
      <c r="E25" s="25"/>
      <c r="F25" s="25"/>
      <c r="G25" s="25"/>
      <c r="H25" s="25"/>
      <c r="I25" s="33"/>
      <c r="J25" s="21"/>
      <c r="L25" s="21"/>
    </row>
    <row r="26" spans="2:14" ht="22.5" customHeight="1" x14ac:dyDescent="0.25">
      <c r="B26" s="25"/>
      <c r="C26" s="25"/>
      <c r="D26" s="25"/>
      <c r="E26" s="25"/>
      <c r="F26" s="25"/>
      <c r="G26" s="25"/>
      <c r="H26" s="25"/>
      <c r="I26" s="33"/>
      <c r="J26" s="21"/>
      <c r="L26" s="22"/>
    </row>
    <row r="27" spans="2:14" ht="22.5" customHeight="1" x14ac:dyDescent="0.25">
      <c r="B27" s="25"/>
      <c r="C27" s="25"/>
      <c r="D27" s="25"/>
      <c r="E27" s="25"/>
      <c r="F27" s="25"/>
      <c r="G27" s="25"/>
      <c r="H27" s="25"/>
      <c r="I27" s="33"/>
      <c r="J27" s="21"/>
    </row>
    <row r="28" spans="2:14" ht="22.5" customHeight="1" x14ac:dyDescent="0.25">
      <c r="B28" s="25"/>
      <c r="C28" s="25"/>
      <c r="D28" s="25"/>
      <c r="E28" s="25"/>
      <c r="F28" s="25"/>
      <c r="G28" s="25"/>
      <c r="H28" s="25"/>
      <c r="I28" s="33"/>
      <c r="J28" s="22"/>
    </row>
  </sheetData>
  <mergeCells count="6">
    <mergeCell ref="C14:I14"/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="85" zoomScaleNormal="85" workbookViewId="0">
      <selection activeCell="G19" sqref="G19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5" width="20.140625" style="1" customWidth="1"/>
    <col min="6" max="6" width="13.7109375" style="1" customWidth="1"/>
    <col min="7" max="14" width="20.140625" style="1" customWidth="1"/>
    <col min="15" max="16384" width="9.140625" style="1"/>
  </cols>
  <sheetData>
    <row r="2" spans="1:14" ht="42.75" customHeight="1" x14ac:dyDescent="0.2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1:14" ht="22.5" customHeight="1" x14ac:dyDescent="0.25">
      <c r="A4" s="53" t="s">
        <v>34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2.5" customHeight="1" x14ac:dyDescent="0.25">
      <c r="A5" s="54"/>
      <c r="B5" s="20" t="s">
        <v>21</v>
      </c>
      <c r="C5" s="20">
        <v>923166</v>
      </c>
      <c r="D5" s="20">
        <v>717818</v>
      </c>
      <c r="E5" s="20">
        <v>753120</v>
      </c>
      <c r="F5" s="20"/>
      <c r="G5" s="20"/>
      <c r="H5" s="20"/>
      <c r="I5" s="20"/>
      <c r="J5" s="20"/>
      <c r="K5" s="20"/>
      <c r="L5" s="20"/>
      <c r="M5" s="20"/>
      <c r="N5" s="20"/>
    </row>
    <row r="6" spans="1:14" ht="22.5" customHeight="1" x14ac:dyDescent="0.25">
      <c r="A6" s="54"/>
      <c r="B6" s="19" t="s">
        <v>14</v>
      </c>
      <c r="C6" s="20">
        <f>57474585+33648695+185416</f>
        <v>91308696</v>
      </c>
      <c r="D6" s="20">
        <f>55879268+30430850+167801</f>
        <v>86477919</v>
      </c>
      <c r="E6" s="20">
        <f>62065083+34809597+158095</f>
        <v>97032775</v>
      </c>
      <c r="F6" s="20"/>
      <c r="G6" s="20"/>
      <c r="H6" s="20"/>
      <c r="I6" s="20"/>
      <c r="J6" s="20"/>
      <c r="K6" s="20"/>
      <c r="L6" s="20"/>
      <c r="M6" s="20"/>
      <c r="N6" s="20"/>
    </row>
    <row r="7" spans="1:14" ht="22.5" customHeight="1" x14ac:dyDescent="0.25">
      <c r="A7" s="54"/>
      <c r="B7" s="19" t="s">
        <v>15</v>
      </c>
      <c r="C7" s="20">
        <f>6748031+1348591+169698</f>
        <v>8266320</v>
      </c>
      <c r="D7" s="20">
        <f>7191816+705236+145383</f>
        <v>8042435</v>
      </c>
      <c r="E7" s="20">
        <f>7153366+590910+119154</f>
        <v>7863430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22.5" customHeight="1" x14ac:dyDescent="0.25">
      <c r="A8" s="54"/>
      <c r="B8" s="19" t="s">
        <v>16</v>
      </c>
      <c r="C8" s="20">
        <f>1876025+199416+522969</f>
        <v>2598410</v>
      </c>
      <c r="D8" s="20">
        <f>2014701+164920+510042</f>
        <v>2689663</v>
      </c>
      <c r="E8" s="20">
        <f>2207787+149298+357509</f>
        <v>2714594</v>
      </c>
      <c r="F8" s="20"/>
      <c r="G8" s="20"/>
      <c r="H8" s="20"/>
      <c r="I8" s="20"/>
      <c r="J8" s="20"/>
      <c r="K8" s="20"/>
      <c r="L8" s="20"/>
      <c r="M8" s="20"/>
      <c r="N8" s="20"/>
    </row>
    <row r="9" spans="1:14" ht="22.5" customHeight="1" x14ac:dyDescent="0.25">
      <c r="A9" s="54"/>
      <c r="B9" s="19" t="s">
        <v>17</v>
      </c>
      <c r="C9" s="20">
        <v>26736</v>
      </c>
      <c r="D9" s="20">
        <v>24330</v>
      </c>
      <c r="E9" s="20">
        <v>22858</v>
      </c>
      <c r="F9" s="20"/>
      <c r="G9" s="20"/>
      <c r="H9" s="20"/>
      <c r="I9" s="20"/>
      <c r="J9" s="20"/>
      <c r="K9" s="20"/>
      <c r="L9" s="20"/>
      <c r="M9" s="20"/>
      <c r="N9" s="20"/>
    </row>
    <row r="10" spans="1:14" ht="22.5" customHeight="1" x14ac:dyDescent="0.25">
      <c r="A10" s="54"/>
      <c r="B10" s="55" t="s">
        <v>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22.5" customHeight="1" x14ac:dyDescent="0.25">
      <c r="A11" s="54"/>
      <c r="B11" s="20" t="s">
        <v>29</v>
      </c>
      <c r="C11" s="20">
        <v>4067</v>
      </c>
      <c r="D11" s="20">
        <v>5052</v>
      </c>
      <c r="E11" s="20">
        <v>4307</v>
      </c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2.5" customHeight="1" x14ac:dyDescent="0.25">
      <c r="A12" s="49" t="s">
        <v>18</v>
      </c>
      <c r="B12" s="50"/>
      <c r="C12" s="10">
        <f>SUM(C5:C9,C11)</f>
        <v>103127395</v>
      </c>
      <c r="D12" s="10">
        <f>SUM(D5:D9,D11)</f>
        <v>97957217</v>
      </c>
      <c r="E12" s="10">
        <f t="shared" ref="E12:N12" si="0">SUM(E5:E9,E11)</f>
        <v>108391084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</row>
    <row r="14" spans="1:14" ht="40.5" customHeight="1" x14ac:dyDescent="0.25">
      <c r="B14" s="25"/>
      <c r="C14" s="58"/>
      <c r="D14" s="58"/>
      <c r="E14" s="58"/>
      <c r="F14" s="58"/>
      <c r="G14" s="58"/>
      <c r="H14" s="58"/>
      <c r="I14" s="58"/>
      <c r="L14" s="21"/>
      <c r="N14" s="28"/>
    </row>
    <row r="15" spans="1:14" ht="40.5" customHeight="1" x14ac:dyDescent="0.3">
      <c r="B15" s="25"/>
      <c r="C15" s="31"/>
      <c r="D15" s="30"/>
      <c r="E15" s="30"/>
      <c r="F15" s="30"/>
      <c r="G15" s="30"/>
      <c r="H15" s="30"/>
      <c r="I15" s="30"/>
      <c r="J15" s="32"/>
      <c r="K15" s="13"/>
      <c r="L15" s="21"/>
      <c r="N15" s="28"/>
    </row>
    <row r="16" spans="1:14" ht="22.5" customHeight="1" x14ac:dyDescent="0.25">
      <c r="B16" s="25"/>
      <c r="C16" s="25"/>
      <c r="D16" s="25"/>
      <c r="E16" s="25"/>
      <c r="F16" s="25"/>
      <c r="G16" s="25"/>
      <c r="H16" s="25"/>
      <c r="I16" s="33"/>
      <c r="J16" s="13"/>
      <c r="K16" s="13"/>
      <c r="L16" s="21"/>
      <c r="M16" s="29"/>
      <c r="N16" s="28"/>
    </row>
    <row r="17" spans="2:14" ht="22.5" customHeight="1" x14ac:dyDescent="0.25">
      <c r="B17" s="25"/>
      <c r="C17" s="25"/>
      <c r="D17" s="25"/>
      <c r="E17" s="25"/>
      <c r="F17" s="25"/>
      <c r="G17" s="25"/>
      <c r="H17" s="25"/>
      <c r="K17" s="13"/>
      <c r="L17" s="21"/>
      <c r="M17" s="29"/>
    </row>
    <row r="18" spans="2:14" ht="22.5" customHeight="1" x14ac:dyDescent="0.25">
      <c r="B18" s="25"/>
      <c r="C18" s="25"/>
      <c r="D18" s="25"/>
      <c r="E18" s="25"/>
      <c r="F18" s="25"/>
      <c r="G18" s="25"/>
      <c r="H18" s="25"/>
      <c r="L18" s="21"/>
      <c r="M18" s="29"/>
    </row>
    <row r="19" spans="2:14" ht="22.5" customHeight="1" x14ac:dyDescent="0.25">
      <c r="B19" s="25"/>
      <c r="C19" s="25"/>
      <c r="D19" s="25"/>
      <c r="E19" s="25"/>
      <c r="F19" s="25"/>
      <c r="G19" s="25"/>
      <c r="H19" s="25"/>
      <c r="I19" s="33"/>
      <c r="J19" s="13"/>
      <c r="K19" s="13"/>
      <c r="L19" s="21"/>
      <c r="M19" s="29"/>
    </row>
    <row r="20" spans="2:14" ht="22.5" customHeight="1" x14ac:dyDescent="0.25">
      <c r="B20" s="25"/>
      <c r="C20" s="25"/>
      <c r="D20" s="25"/>
      <c r="E20" s="25"/>
      <c r="F20" s="25"/>
      <c r="G20" s="25"/>
      <c r="H20" s="25"/>
      <c r="I20" s="33"/>
      <c r="J20" s="21"/>
      <c r="L20" s="21"/>
      <c r="N20" s="28"/>
    </row>
    <row r="21" spans="2:14" ht="22.5" customHeight="1" x14ac:dyDescent="0.25">
      <c r="B21" s="25"/>
      <c r="C21" s="25"/>
      <c r="D21" s="25"/>
      <c r="E21" s="25"/>
      <c r="F21" s="25"/>
      <c r="G21" s="25"/>
      <c r="H21" s="25"/>
      <c r="I21" s="33"/>
      <c r="J21" s="21"/>
      <c r="L21" s="21"/>
    </row>
    <row r="22" spans="2:14" ht="22.5" customHeight="1" x14ac:dyDescent="0.25">
      <c r="B22" s="25"/>
      <c r="C22" s="25"/>
      <c r="D22" s="25"/>
      <c r="E22" s="25"/>
      <c r="F22" s="25"/>
      <c r="G22" s="25"/>
      <c r="H22" s="25"/>
      <c r="I22" s="33"/>
      <c r="J22" s="21"/>
      <c r="L22" s="21"/>
    </row>
    <row r="23" spans="2:14" ht="22.5" customHeight="1" x14ac:dyDescent="0.25">
      <c r="B23" s="25"/>
      <c r="C23" s="25"/>
      <c r="D23" s="25"/>
      <c r="E23" s="25"/>
      <c r="F23" s="25"/>
      <c r="G23" s="25"/>
      <c r="H23" s="25"/>
      <c r="I23" s="33"/>
      <c r="J23" s="21"/>
      <c r="L23" s="21"/>
    </row>
    <row r="24" spans="2:14" ht="22.5" customHeight="1" x14ac:dyDescent="0.25">
      <c r="B24" s="25"/>
      <c r="C24" s="25"/>
      <c r="D24" s="25"/>
      <c r="E24" s="25"/>
      <c r="F24" s="25"/>
      <c r="G24" s="25"/>
      <c r="H24" s="25"/>
      <c r="I24" s="33"/>
      <c r="J24" s="21"/>
      <c r="L24" s="21"/>
    </row>
    <row r="25" spans="2:14" ht="22.5" customHeight="1" x14ac:dyDescent="0.25">
      <c r="B25" s="25"/>
      <c r="C25" s="25"/>
      <c r="D25" s="25"/>
      <c r="E25" s="25"/>
      <c r="F25" s="25"/>
      <c r="G25" s="25"/>
      <c r="H25" s="25"/>
      <c r="I25" s="33"/>
      <c r="J25" s="21"/>
      <c r="L25" s="21"/>
    </row>
    <row r="26" spans="2:14" ht="22.5" customHeight="1" x14ac:dyDescent="0.25">
      <c r="B26" s="25"/>
      <c r="C26" s="25"/>
      <c r="D26" s="25"/>
      <c r="E26" s="25"/>
      <c r="F26" s="25"/>
      <c r="G26" s="25"/>
      <c r="H26" s="25"/>
      <c r="I26" s="33"/>
      <c r="J26" s="21"/>
      <c r="L26" s="22"/>
    </row>
    <row r="27" spans="2:14" ht="22.5" customHeight="1" x14ac:dyDescent="0.25">
      <c r="B27" s="25"/>
      <c r="C27" s="25"/>
      <c r="D27" s="25"/>
      <c r="E27" s="25"/>
      <c r="F27" s="25"/>
      <c r="G27" s="25"/>
      <c r="H27" s="25"/>
      <c r="I27" s="33"/>
      <c r="J27" s="21"/>
    </row>
    <row r="28" spans="2:14" ht="22.5" customHeight="1" x14ac:dyDescent="0.25">
      <c r="B28" s="25"/>
      <c r="C28" s="25"/>
      <c r="D28" s="25"/>
      <c r="E28" s="25"/>
      <c r="F28" s="25"/>
      <c r="G28" s="25"/>
      <c r="H28" s="25"/>
      <c r="I28" s="33"/>
      <c r="J28" s="22"/>
    </row>
  </sheetData>
  <mergeCells count="6">
    <mergeCell ref="C14:I14"/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H23" sqref="H2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44" t="s">
        <v>24</v>
      </c>
      <c r="B4" s="46" t="s">
        <v>19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22.5" customHeight="1" x14ac:dyDescent="0.25">
      <c r="A5" s="45"/>
      <c r="B5" s="5" t="s">
        <v>21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1:14" ht="22.5" customHeight="1" x14ac:dyDescent="0.25">
      <c r="A6" s="45"/>
      <c r="B6" s="5" t="s">
        <v>14</v>
      </c>
      <c r="C6" s="3">
        <v>96821933</v>
      </c>
      <c r="D6" s="3">
        <v>86959508</v>
      </c>
      <c r="E6" s="3">
        <v>95374541</v>
      </c>
      <c r="F6" s="3">
        <v>87294210</v>
      </c>
      <c r="G6" s="3">
        <v>87036877</v>
      </c>
      <c r="H6" s="3">
        <v>84706298</v>
      </c>
      <c r="I6" s="3">
        <v>87486487</v>
      </c>
      <c r="J6" s="3">
        <v>89357914</v>
      </c>
      <c r="K6" s="3">
        <v>85438822</v>
      </c>
      <c r="L6" s="3">
        <v>91784312</v>
      </c>
      <c r="M6" s="3">
        <v>96588321</v>
      </c>
      <c r="N6" s="3">
        <v>98944133</v>
      </c>
    </row>
    <row r="7" spans="1:14" ht="22.5" customHeight="1" x14ac:dyDescent="0.25">
      <c r="A7" s="45"/>
      <c r="B7" s="5" t="s">
        <v>15</v>
      </c>
      <c r="C7" s="3">
        <v>8914489</v>
      </c>
      <c r="D7" s="3">
        <v>7653055</v>
      </c>
      <c r="E7" s="3">
        <v>7619912</v>
      </c>
      <c r="F7" s="3">
        <v>6718738</v>
      </c>
      <c r="G7" s="3">
        <v>6089412</v>
      </c>
      <c r="H7" s="3">
        <v>5691158</v>
      </c>
      <c r="I7" s="3">
        <v>6426250</v>
      </c>
      <c r="J7" s="3">
        <v>7056270</v>
      </c>
      <c r="K7" s="3">
        <v>7337316</v>
      </c>
      <c r="L7" s="3">
        <v>8354702</v>
      </c>
      <c r="M7" s="3">
        <v>8071950</v>
      </c>
      <c r="N7" s="3">
        <v>7854207</v>
      </c>
    </row>
    <row r="8" spans="1:14" ht="22.5" customHeight="1" x14ac:dyDescent="0.25">
      <c r="A8" s="45"/>
      <c r="B8" s="5" t="s">
        <v>16</v>
      </c>
      <c r="C8" s="3">
        <v>556803</v>
      </c>
      <c r="D8" s="3">
        <v>508970</v>
      </c>
      <c r="E8" s="3">
        <v>348185</v>
      </c>
      <c r="F8" s="3">
        <v>434682</v>
      </c>
      <c r="G8" s="3">
        <v>193878</v>
      </c>
      <c r="H8" s="3">
        <v>147488</v>
      </c>
      <c r="I8" s="3">
        <v>164433</v>
      </c>
      <c r="J8" s="3">
        <v>189087</v>
      </c>
      <c r="K8" s="3">
        <v>303215</v>
      </c>
      <c r="L8" s="3">
        <v>513642</v>
      </c>
      <c r="M8" s="3">
        <v>581742</v>
      </c>
      <c r="N8" s="3">
        <v>590923</v>
      </c>
    </row>
    <row r="9" spans="1:14" ht="22.5" customHeight="1" x14ac:dyDescent="0.25">
      <c r="A9" s="45"/>
      <c r="B9" s="5" t="s">
        <v>17</v>
      </c>
      <c r="C9" s="3">
        <v>251163</v>
      </c>
      <c r="D9" s="3">
        <v>231343</v>
      </c>
      <c r="E9" s="3">
        <v>206446</v>
      </c>
      <c r="F9" s="3">
        <v>234250</v>
      </c>
      <c r="G9" s="3">
        <v>130998</v>
      </c>
      <c r="H9" s="3">
        <v>59518</v>
      </c>
      <c r="I9" s="3">
        <v>54489</v>
      </c>
      <c r="J9" s="3">
        <v>43679</v>
      </c>
      <c r="K9" s="3">
        <v>98101</v>
      </c>
      <c r="L9" s="3">
        <v>206738</v>
      </c>
      <c r="M9" s="3">
        <v>230100</v>
      </c>
      <c r="N9" s="3">
        <v>272757</v>
      </c>
    </row>
    <row r="10" spans="1:14" ht="22.5" customHeight="1" x14ac:dyDescent="0.25">
      <c r="A10" s="45"/>
      <c r="B10" s="46" t="s">
        <v>20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2.5" customHeight="1" x14ac:dyDescent="0.25">
      <c r="A11" s="45"/>
      <c r="B11" s="4"/>
      <c r="C11" s="3">
        <v>2630</v>
      </c>
      <c r="D11" s="3">
        <v>4130</v>
      </c>
      <c r="E11" s="3">
        <v>4920</v>
      </c>
      <c r="F11" s="3">
        <v>3773</v>
      </c>
      <c r="G11" s="3">
        <v>3515</v>
      </c>
      <c r="H11" s="3">
        <v>4160</v>
      </c>
      <c r="I11" s="3">
        <v>4055</v>
      </c>
      <c r="J11" s="3">
        <v>3563</v>
      </c>
      <c r="K11" s="3">
        <v>4420</v>
      </c>
      <c r="L11" s="3">
        <v>3139</v>
      </c>
      <c r="M11" s="3">
        <v>2922</v>
      </c>
      <c r="N11" s="3">
        <v>3938</v>
      </c>
    </row>
    <row r="12" spans="1:14" ht="30.75" customHeight="1" x14ac:dyDescent="0.25">
      <c r="A12" s="45"/>
      <c r="B12" s="6" t="s">
        <v>18</v>
      </c>
      <c r="C12" s="3">
        <f t="shared" ref="C12:N12" si="0">SUM(C5:C9,C11)</f>
        <v>106547018</v>
      </c>
      <c r="D12" s="3">
        <f t="shared" si="0"/>
        <v>95357006</v>
      </c>
      <c r="E12" s="3">
        <f t="shared" si="0"/>
        <v>103554004</v>
      </c>
      <c r="F12" s="3">
        <f t="shared" si="0"/>
        <v>94685653</v>
      </c>
      <c r="G12" s="3">
        <f t="shared" si="0"/>
        <v>93454680</v>
      </c>
      <c r="H12" s="3">
        <f t="shared" si="0"/>
        <v>90608622</v>
      </c>
      <c r="I12" s="3">
        <f t="shared" si="0"/>
        <v>94135714</v>
      </c>
      <c r="J12" s="3">
        <f t="shared" si="0"/>
        <v>96650513</v>
      </c>
      <c r="K12" s="3">
        <f t="shared" si="0"/>
        <v>93181874</v>
      </c>
      <c r="L12" s="3">
        <f t="shared" si="0"/>
        <v>100862533</v>
      </c>
      <c r="M12" s="3">
        <f t="shared" si="0"/>
        <v>105475035</v>
      </c>
      <c r="N12" s="3">
        <f t="shared" si="0"/>
        <v>107665958</v>
      </c>
    </row>
    <row r="13" spans="1:14" ht="22.5" customHeight="1" x14ac:dyDescent="0.25">
      <c r="A13" s="49" t="s">
        <v>18</v>
      </c>
      <c r="B13" s="50"/>
      <c r="C13" s="10">
        <f>C12</f>
        <v>106547018</v>
      </c>
      <c r="D13" s="10">
        <f t="shared" ref="D13:M13" si="1">D12</f>
        <v>95357006</v>
      </c>
      <c r="E13" s="10">
        <f t="shared" si="1"/>
        <v>103554004</v>
      </c>
      <c r="F13" s="10">
        <f t="shared" si="1"/>
        <v>94685653</v>
      </c>
      <c r="G13" s="10">
        <f t="shared" si="1"/>
        <v>93454680</v>
      </c>
      <c r="H13" s="10">
        <f t="shared" si="1"/>
        <v>90608622</v>
      </c>
      <c r="I13" s="10">
        <f t="shared" si="1"/>
        <v>94135714</v>
      </c>
      <c r="J13" s="10">
        <f>J12</f>
        <v>96650513</v>
      </c>
      <c r="K13" s="10">
        <f t="shared" si="1"/>
        <v>93181874</v>
      </c>
      <c r="L13" s="10">
        <f>L12</f>
        <v>100862533</v>
      </c>
      <c r="M13" s="10">
        <f t="shared" si="1"/>
        <v>105475035</v>
      </c>
      <c r="N13" s="10">
        <f>N12</f>
        <v>107665958</v>
      </c>
    </row>
    <row r="15" spans="1:14" ht="22.5" customHeight="1" x14ac:dyDescent="0.25">
      <c r="D15" s="12"/>
      <c r="F15" s="13"/>
    </row>
    <row r="16" spans="1:14" ht="22.5" customHeight="1" x14ac:dyDescent="0.25">
      <c r="D16" s="12"/>
      <c r="F16" s="13"/>
    </row>
    <row r="17" spans="4:6" ht="22.5" customHeight="1" x14ac:dyDescent="0.25">
      <c r="D17" s="12"/>
      <c r="F17" s="13"/>
    </row>
    <row r="18" spans="4:6" ht="22.5" customHeight="1" x14ac:dyDescent="0.25">
      <c r="D18" s="12"/>
      <c r="F18" s="13"/>
    </row>
    <row r="19" spans="4:6" ht="22.5" customHeight="1" x14ac:dyDescent="0.25">
      <c r="D19" s="12"/>
      <c r="F19" s="13"/>
    </row>
    <row r="20" spans="4:6" ht="22.5" customHeight="1" x14ac:dyDescent="0.25">
      <c r="D20" s="12"/>
      <c r="F20" s="13"/>
    </row>
    <row r="21" spans="4:6" ht="22.5" customHeight="1" x14ac:dyDescent="0.25">
      <c r="D21" s="12"/>
      <c r="F21" s="13"/>
    </row>
    <row r="22" spans="4:6" ht="22.5" customHeight="1" x14ac:dyDescent="0.25">
      <c r="D22" s="12"/>
      <c r="F22" s="13"/>
    </row>
    <row r="23" spans="4:6" ht="22.5" customHeight="1" x14ac:dyDescent="0.25">
      <c r="D23" s="12"/>
      <c r="F23" s="13"/>
    </row>
    <row r="24" spans="4:6" ht="22.5" customHeight="1" x14ac:dyDescent="0.25">
      <c r="D24" s="12"/>
      <c r="F24" s="13"/>
    </row>
    <row r="25" spans="4:6" ht="22.5" customHeight="1" x14ac:dyDescent="0.25">
      <c r="D25" s="12"/>
      <c r="F25" s="13"/>
    </row>
    <row r="26" spans="4:6" ht="22.5" customHeight="1" x14ac:dyDescent="0.25">
      <c r="D26" s="12"/>
      <c r="F26" s="13"/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7"/>
  <sheetViews>
    <sheetView zoomScale="70" zoomScaleNormal="70" workbookViewId="0">
      <selection activeCell="O24" sqref="O2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21" ht="42.75" customHeight="1" x14ac:dyDescent="0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1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21" ht="22.5" customHeight="1" x14ac:dyDescent="0.25">
      <c r="A4" s="44" t="s">
        <v>24</v>
      </c>
      <c r="B4" s="46" t="s">
        <v>19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21" ht="22.5" customHeight="1" x14ac:dyDescent="0.25">
      <c r="A5" s="45"/>
      <c r="B5" s="5" t="s">
        <v>21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3"/>
      <c r="M5" s="3"/>
      <c r="N5" s="3"/>
    </row>
    <row r="6" spans="1:21" ht="22.5" customHeight="1" x14ac:dyDescent="0.25">
      <c r="A6" s="45"/>
      <c r="B6" s="5" t="s">
        <v>22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3"/>
      <c r="M6" s="3"/>
      <c r="N6" s="3"/>
    </row>
    <row r="7" spans="1:21" ht="22.5" customHeight="1" x14ac:dyDescent="0.25">
      <c r="A7" s="45"/>
      <c r="B7" s="5" t="s">
        <v>14</v>
      </c>
      <c r="C7" s="3">
        <v>94379592</v>
      </c>
      <c r="D7" s="3">
        <v>85501082</v>
      </c>
      <c r="E7" s="3">
        <v>96825906</v>
      </c>
      <c r="F7" s="3">
        <v>86476355</v>
      </c>
      <c r="G7" s="3">
        <v>83575965</v>
      </c>
      <c r="H7" s="3">
        <v>80050581</v>
      </c>
      <c r="I7" s="3">
        <v>85962961</v>
      </c>
      <c r="J7" s="3">
        <v>86025353</v>
      </c>
      <c r="K7" s="3">
        <v>85643433</v>
      </c>
      <c r="L7" s="3">
        <v>94652422</v>
      </c>
      <c r="M7" s="3">
        <v>97872391</v>
      </c>
      <c r="N7" s="3">
        <v>100727088</v>
      </c>
    </row>
    <row r="8" spans="1:21" ht="22.5" customHeight="1" x14ac:dyDescent="0.25">
      <c r="A8" s="45"/>
      <c r="B8" s="5" t="s">
        <v>15</v>
      </c>
      <c r="C8" s="3">
        <v>8818038</v>
      </c>
      <c r="D8" s="3">
        <v>7962381</v>
      </c>
      <c r="E8" s="3">
        <v>8318273</v>
      </c>
      <c r="F8" s="3">
        <v>7417852</v>
      </c>
      <c r="G8" s="3">
        <v>6890422</v>
      </c>
      <c r="H8" s="3">
        <v>6470480</v>
      </c>
      <c r="I8" s="3">
        <v>6859331</v>
      </c>
      <c r="J8" s="3">
        <v>6662203</v>
      </c>
      <c r="K8" s="3">
        <v>6840501</v>
      </c>
      <c r="L8" s="3">
        <v>8080519</v>
      </c>
      <c r="M8" s="3">
        <v>7389471</v>
      </c>
      <c r="N8" s="3">
        <v>8466078</v>
      </c>
    </row>
    <row r="9" spans="1:21" ht="22.5" customHeight="1" x14ac:dyDescent="0.25">
      <c r="A9" s="45"/>
      <c r="B9" s="5" t="s">
        <v>16</v>
      </c>
      <c r="C9" s="3">
        <v>651317</v>
      </c>
      <c r="D9" s="3">
        <v>568992</v>
      </c>
      <c r="E9" s="3">
        <v>524861</v>
      </c>
      <c r="F9" s="3">
        <v>524848</v>
      </c>
      <c r="G9" s="3">
        <v>240973</v>
      </c>
      <c r="H9" s="3">
        <v>193736</v>
      </c>
      <c r="I9" s="3">
        <v>169802</v>
      </c>
      <c r="J9" s="3">
        <v>171228</v>
      </c>
      <c r="K9" s="3">
        <v>214704</v>
      </c>
      <c r="L9" s="3">
        <v>400888</v>
      </c>
      <c r="M9" s="3">
        <v>494572</v>
      </c>
      <c r="N9" s="3">
        <v>541449</v>
      </c>
    </row>
    <row r="10" spans="1:21" ht="22.5" customHeight="1" x14ac:dyDescent="0.25">
      <c r="A10" s="45"/>
      <c r="B10" s="5" t="s">
        <v>17</v>
      </c>
      <c r="C10" s="3">
        <v>239999</v>
      </c>
      <c r="D10" s="3">
        <v>242654</v>
      </c>
      <c r="E10" s="3">
        <v>214336</v>
      </c>
      <c r="F10" s="3">
        <v>268601</v>
      </c>
      <c r="G10" s="3">
        <v>73400</v>
      </c>
      <c r="H10" s="3">
        <v>99123</v>
      </c>
      <c r="I10" s="3">
        <v>47273</v>
      </c>
      <c r="J10" s="3">
        <v>105298</v>
      </c>
      <c r="K10" s="3">
        <v>101867</v>
      </c>
      <c r="L10" s="3">
        <v>183643</v>
      </c>
      <c r="M10" s="3">
        <v>233617</v>
      </c>
      <c r="N10" s="3">
        <v>145878</v>
      </c>
    </row>
    <row r="11" spans="1:21" ht="22.5" customHeight="1" x14ac:dyDescent="0.25">
      <c r="A11" s="45"/>
      <c r="B11" s="46" t="s">
        <v>20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21" ht="22.5" customHeight="1" x14ac:dyDescent="0.25">
      <c r="A12" s="45"/>
      <c r="B12" s="4"/>
      <c r="C12" s="3">
        <v>1926</v>
      </c>
      <c r="D12" s="3">
        <v>4162</v>
      </c>
      <c r="E12" s="3">
        <v>5208</v>
      </c>
      <c r="F12" s="3">
        <v>5928</v>
      </c>
      <c r="G12" s="3">
        <v>3298</v>
      </c>
      <c r="H12" s="3">
        <v>3743</v>
      </c>
      <c r="I12" s="3">
        <v>5235</v>
      </c>
      <c r="J12" s="3">
        <v>5084</v>
      </c>
      <c r="K12" s="3">
        <v>5960</v>
      </c>
      <c r="L12" s="3">
        <v>6028</v>
      </c>
      <c r="M12" s="3">
        <v>6047</v>
      </c>
      <c r="N12" s="3">
        <v>5350</v>
      </c>
    </row>
    <row r="13" spans="1:21" ht="22.5" customHeight="1" x14ac:dyDescent="0.25">
      <c r="A13" s="49" t="s">
        <v>18</v>
      </c>
      <c r="B13" s="50"/>
      <c r="C13" s="10">
        <f t="shared" ref="C13:N13" si="0">SUM(C5:C10,C12)</f>
        <v>104090872</v>
      </c>
      <c r="D13" s="10">
        <f t="shared" si="0"/>
        <v>94279271</v>
      </c>
      <c r="E13" s="10">
        <f t="shared" si="0"/>
        <v>105888584</v>
      </c>
      <c r="F13" s="10">
        <f t="shared" si="0"/>
        <v>94693584</v>
      </c>
      <c r="G13" s="10">
        <f t="shared" si="0"/>
        <v>90784058</v>
      </c>
      <c r="H13" s="10">
        <f>SUM(H5:H10,H12)</f>
        <v>86817663</v>
      </c>
      <c r="I13" s="10">
        <f t="shared" si="0"/>
        <v>93044602</v>
      </c>
      <c r="J13" s="10">
        <f t="shared" si="0"/>
        <v>92969166</v>
      </c>
      <c r="K13" s="10">
        <f t="shared" si="0"/>
        <v>92806465</v>
      </c>
      <c r="L13" s="10">
        <f t="shared" si="0"/>
        <v>103323500</v>
      </c>
      <c r="M13" s="10">
        <f t="shared" si="0"/>
        <v>105996098</v>
      </c>
      <c r="N13" s="10">
        <f t="shared" si="0"/>
        <v>109885843</v>
      </c>
    </row>
    <row r="16" spans="1:21" ht="22.5" customHeight="1" x14ac:dyDescent="0.2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5:21" ht="22.5" customHeight="1" x14ac:dyDescent="0.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5:21" ht="22.5" customHeight="1" x14ac:dyDescent="0.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5:21" ht="22.5" customHeight="1" x14ac:dyDescent="0.2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5:21" ht="22.5" customHeight="1" x14ac:dyDescent="0.25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5:21" ht="22.5" customHeight="1" x14ac:dyDescent="0.25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5:21" ht="22.5" customHeight="1" x14ac:dyDescent="0.25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5:21" ht="22.5" customHeight="1" x14ac:dyDescent="0.25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5:21" ht="22.5" customHeight="1" x14ac:dyDescent="0.25"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5:21" ht="22.5" customHeight="1" x14ac:dyDescent="0.25"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5:21" ht="22.5" customHeight="1" x14ac:dyDescent="0.25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5:21" ht="22.5" customHeight="1" x14ac:dyDescent="0.2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5:21" ht="22.5" customHeight="1" x14ac:dyDescent="0.25"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4"/>
      <c r="P28" s="14"/>
      <c r="Q28" s="14"/>
      <c r="R28" s="14"/>
      <c r="S28" s="14"/>
      <c r="T28" s="14"/>
      <c r="U28" s="14"/>
    </row>
    <row r="29" spans="5:21" ht="22.5" customHeight="1" x14ac:dyDescent="0.25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5:21" ht="22.5" customHeight="1" x14ac:dyDescent="0.2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5:21" ht="22.5" customHeight="1" x14ac:dyDescent="0.2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5:21" ht="22.5" customHeight="1" x14ac:dyDescent="0.25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5:21" ht="22.5" customHeight="1" x14ac:dyDescent="0.25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5:21" ht="22.5" customHeight="1" x14ac:dyDescent="0.25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5:21" ht="22.5" customHeight="1" x14ac:dyDescent="0.25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5:21" ht="22.5" customHeight="1" x14ac:dyDescent="0.2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5:21" ht="22.5" customHeight="1" x14ac:dyDescent="0.25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5:21" ht="22.5" customHeight="1" x14ac:dyDescent="0.25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5:21" ht="22.5" customHeight="1" x14ac:dyDescent="0.2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5:21" ht="22.5" customHeight="1" x14ac:dyDescent="0.25"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5:21" ht="22.5" customHeight="1" x14ac:dyDescent="0.25"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5:21" ht="22.5" customHeight="1" x14ac:dyDescent="0.25"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5:21" ht="22.5" customHeight="1" x14ac:dyDescent="0.2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5:21" ht="22.5" customHeight="1" x14ac:dyDescent="0.25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5:21" ht="22.5" customHeight="1" x14ac:dyDescent="0.25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5:21" ht="22.5" customHeight="1" x14ac:dyDescent="0.25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5:21" ht="22.5" customHeight="1" x14ac:dyDescent="0.25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</sheetData>
  <mergeCells count="5"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70" zoomScaleNormal="70" workbookViewId="0">
      <selection activeCell="I5" sqref="I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1:14" ht="22.5" customHeight="1" x14ac:dyDescent="0.25">
      <c r="A4" s="53" t="s">
        <v>28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2.5" customHeight="1" x14ac:dyDescent="0.25">
      <c r="A5" s="54"/>
      <c r="B5" s="19" t="s">
        <v>14</v>
      </c>
      <c r="C5" s="20">
        <v>97953897</v>
      </c>
      <c r="D5" s="20">
        <v>89414725</v>
      </c>
      <c r="E5" s="20">
        <v>94241459</v>
      </c>
      <c r="F5" s="20">
        <v>86468838</v>
      </c>
      <c r="G5" s="20">
        <v>84328181</v>
      </c>
      <c r="H5" s="20">
        <v>81608083</v>
      </c>
      <c r="I5" s="20">
        <v>85323042</v>
      </c>
      <c r="J5" s="20">
        <v>89290100</v>
      </c>
      <c r="K5" s="20">
        <v>90218119</v>
      </c>
      <c r="L5" s="20">
        <v>98489074</v>
      </c>
      <c r="M5" s="20">
        <v>100691834</v>
      </c>
      <c r="N5" s="20">
        <v>105725399</v>
      </c>
    </row>
    <row r="6" spans="1:14" ht="22.5" customHeight="1" x14ac:dyDescent="0.25">
      <c r="A6" s="54"/>
      <c r="B6" s="19" t="s">
        <v>15</v>
      </c>
      <c r="C6" s="20">
        <v>8386901</v>
      </c>
      <c r="D6" s="20">
        <v>6928057</v>
      </c>
      <c r="E6" s="20">
        <v>7731406</v>
      </c>
      <c r="F6" s="20">
        <v>7119508</v>
      </c>
      <c r="G6" s="20">
        <v>6058459</v>
      </c>
      <c r="H6" s="20">
        <v>5319128</v>
      </c>
      <c r="I6" s="20">
        <v>6297941</v>
      </c>
      <c r="J6" s="20">
        <v>6639380</v>
      </c>
      <c r="K6" s="20">
        <v>6573402</v>
      </c>
      <c r="L6" s="20">
        <v>7528949</v>
      </c>
      <c r="M6" s="20">
        <v>7639529</v>
      </c>
      <c r="N6" s="20">
        <v>8234574</v>
      </c>
    </row>
    <row r="7" spans="1:14" ht="22.5" customHeight="1" x14ac:dyDescent="0.25">
      <c r="A7" s="54"/>
      <c r="B7" s="19" t="s">
        <v>16</v>
      </c>
      <c r="C7" s="20">
        <v>602149</v>
      </c>
      <c r="D7" s="20">
        <v>528908</v>
      </c>
      <c r="E7" s="20">
        <v>459277</v>
      </c>
      <c r="F7" s="20">
        <v>343601</v>
      </c>
      <c r="G7" s="20">
        <v>197857</v>
      </c>
      <c r="H7" s="20">
        <v>143316</v>
      </c>
      <c r="I7" s="20">
        <v>151614</v>
      </c>
      <c r="J7" s="20">
        <v>143748</v>
      </c>
      <c r="K7" s="20">
        <v>203484</v>
      </c>
      <c r="L7" s="20">
        <v>336040</v>
      </c>
      <c r="M7" s="20">
        <v>505521</v>
      </c>
      <c r="N7" s="20">
        <v>568752</v>
      </c>
    </row>
    <row r="8" spans="1:14" ht="22.5" customHeight="1" x14ac:dyDescent="0.25">
      <c r="A8" s="54"/>
      <c r="B8" s="19" t="s">
        <v>17</v>
      </c>
      <c r="C8" s="20">
        <v>319812</v>
      </c>
      <c r="D8" s="20">
        <v>248183</v>
      </c>
      <c r="E8" s="20">
        <v>196760</v>
      </c>
      <c r="F8" s="20">
        <v>194474</v>
      </c>
      <c r="G8" s="20">
        <v>119714</v>
      </c>
      <c r="H8" s="20">
        <v>72650</v>
      </c>
      <c r="I8" s="20">
        <v>74286</v>
      </c>
      <c r="J8" s="20">
        <v>80134</v>
      </c>
      <c r="K8" s="20">
        <v>86416</v>
      </c>
      <c r="L8" s="20">
        <v>163995</v>
      </c>
      <c r="M8" s="20">
        <v>197688</v>
      </c>
      <c r="N8" s="20">
        <v>204373</v>
      </c>
    </row>
    <row r="9" spans="1:14" ht="22.5" customHeight="1" x14ac:dyDescent="0.25">
      <c r="A9" s="54"/>
      <c r="B9" s="55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22.5" customHeight="1" x14ac:dyDescent="0.25">
      <c r="A10" s="54"/>
      <c r="B10" s="20" t="s">
        <v>29</v>
      </c>
      <c r="C10" s="20">
        <v>2059</v>
      </c>
      <c r="D10" s="20">
        <v>4723</v>
      </c>
      <c r="E10" s="20">
        <v>4790</v>
      </c>
      <c r="F10" s="20">
        <v>3440</v>
      </c>
      <c r="G10" s="20">
        <v>3118</v>
      </c>
      <c r="H10" s="20">
        <v>2660</v>
      </c>
      <c r="I10" s="20">
        <v>3635</v>
      </c>
      <c r="J10" s="20">
        <v>3845</v>
      </c>
      <c r="K10" s="20">
        <v>3816</v>
      </c>
      <c r="L10" s="20">
        <v>2646</v>
      </c>
      <c r="M10" s="20">
        <v>3876</v>
      </c>
      <c r="N10" s="20">
        <v>3073</v>
      </c>
    </row>
    <row r="11" spans="1:14" ht="22.5" customHeight="1" x14ac:dyDescent="0.25">
      <c r="A11" s="49" t="s">
        <v>18</v>
      </c>
      <c r="B11" s="50"/>
      <c r="C11" s="10">
        <f>SUM(C5:C8,C10)</f>
        <v>107264818</v>
      </c>
      <c r="D11" s="10">
        <f t="shared" ref="D11:N11" si="0">SUM(D5:D8,D10)</f>
        <v>97124596</v>
      </c>
      <c r="E11" s="10">
        <f t="shared" si="0"/>
        <v>102633692</v>
      </c>
      <c r="F11" s="10">
        <f>SUM(F5:F8,F10)</f>
        <v>94129861</v>
      </c>
      <c r="G11" s="10">
        <f t="shared" si="0"/>
        <v>90707329</v>
      </c>
      <c r="H11" s="10">
        <f t="shared" si="0"/>
        <v>87145837</v>
      </c>
      <c r="I11" s="10">
        <f t="shared" si="0"/>
        <v>91850518</v>
      </c>
      <c r="J11" s="10">
        <f t="shared" si="0"/>
        <v>96157207</v>
      </c>
      <c r="K11" s="10">
        <f t="shared" si="0"/>
        <v>97085237</v>
      </c>
      <c r="L11" s="10">
        <f t="shared" si="0"/>
        <v>106520704</v>
      </c>
      <c r="M11" s="10">
        <f t="shared" si="0"/>
        <v>109038448</v>
      </c>
      <c r="N11" s="10">
        <f t="shared" si="0"/>
        <v>114736171</v>
      </c>
    </row>
    <row r="13" spans="1:14" ht="40.5" customHeight="1" x14ac:dyDescent="0.25">
      <c r="B13" s="25"/>
      <c r="C13" s="25"/>
      <c r="D13" s="25"/>
      <c r="E13" s="25"/>
      <c r="F13" s="25"/>
      <c r="G13" s="25"/>
      <c r="H13" s="25"/>
      <c r="I13" s="21"/>
    </row>
    <row r="14" spans="1:14" ht="40.5" customHeight="1" x14ac:dyDescent="0.25">
      <c r="B14" s="25"/>
      <c r="C14" s="25"/>
      <c r="D14" s="25"/>
      <c r="E14" s="25"/>
      <c r="F14" s="25"/>
      <c r="G14" s="25"/>
      <c r="H14" s="25"/>
      <c r="I14" s="22"/>
    </row>
    <row r="15" spans="1:14" ht="22.5" customHeight="1" x14ac:dyDescent="0.25">
      <c r="E15" s="51"/>
      <c r="F15" s="51"/>
      <c r="G15" s="51"/>
      <c r="H15" s="51"/>
      <c r="I15" s="51"/>
      <c r="J15" s="51"/>
      <c r="K15" s="51"/>
      <c r="L15" s="23"/>
      <c r="M15" s="26"/>
      <c r="N15" s="27"/>
    </row>
    <row r="16" spans="1:14" ht="22.5" customHeight="1" x14ac:dyDescent="0.25">
      <c r="E16" s="51"/>
      <c r="F16" s="51"/>
      <c r="G16" s="51"/>
      <c r="H16" s="51"/>
      <c r="I16" s="51"/>
      <c r="J16" s="51"/>
      <c r="K16" s="51"/>
      <c r="L16" s="23"/>
      <c r="M16" s="26"/>
      <c r="N16" s="27"/>
    </row>
    <row r="17" spans="5:14" ht="22.5" customHeight="1" x14ac:dyDescent="0.25">
      <c r="E17" s="51"/>
      <c r="F17" s="51"/>
      <c r="G17" s="51"/>
      <c r="H17" s="51"/>
      <c r="I17" s="51"/>
      <c r="J17" s="51"/>
      <c r="K17" s="51"/>
      <c r="L17" s="23"/>
      <c r="M17" s="26"/>
      <c r="N17" s="27"/>
    </row>
    <row r="18" spans="5:14" ht="22.5" customHeight="1" x14ac:dyDescent="0.25">
      <c r="E18" s="51"/>
      <c r="F18" s="51"/>
      <c r="G18" s="51"/>
      <c r="H18" s="51"/>
      <c r="I18" s="51"/>
      <c r="J18" s="51"/>
      <c r="K18" s="51"/>
      <c r="L18" s="23"/>
      <c r="M18" s="26"/>
      <c r="N18" s="27"/>
    </row>
    <row r="19" spans="5:14" ht="22.5" customHeight="1" x14ac:dyDescent="0.25">
      <c r="E19" s="51"/>
      <c r="F19" s="51"/>
      <c r="G19" s="51"/>
      <c r="H19" s="51"/>
      <c r="I19" s="51"/>
      <c r="J19" s="51"/>
      <c r="K19" s="51"/>
      <c r="L19" s="23"/>
      <c r="N19" s="28"/>
    </row>
    <row r="20" spans="5:14" ht="22.5" customHeight="1" x14ac:dyDescent="0.25">
      <c r="E20" s="51"/>
      <c r="F20" s="51"/>
      <c r="G20" s="51"/>
      <c r="H20" s="51"/>
      <c r="I20" s="51"/>
      <c r="J20" s="51"/>
      <c r="K20" s="51"/>
      <c r="L20" s="23"/>
    </row>
    <row r="21" spans="5:14" ht="22.5" customHeight="1" x14ac:dyDescent="0.25">
      <c r="E21" s="51"/>
      <c r="F21" s="51"/>
      <c r="G21" s="51"/>
      <c r="H21" s="51"/>
      <c r="I21" s="51"/>
      <c r="J21" s="51"/>
      <c r="K21" s="51"/>
      <c r="L21" s="23"/>
    </row>
    <row r="22" spans="5:14" ht="22.5" customHeight="1" x14ac:dyDescent="0.25">
      <c r="E22" s="51"/>
      <c r="F22" s="51"/>
      <c r="G22" s="51"/>
      <c r="H22" s="51"/>
      <c r="I22" s="51"/>
      <c r="J22" s="51"/>
      <c r="K22" s="51"/>
      <c r="L22" s="23"/>
    </row>
    <row r="23" spans="5:14" ht="22.5" customHeight="1" x14ac:dyDescent="0.25">
      <c r="E23" s="51"/>
      <c r="F23" s="51"/>
      <c r="G23" s="51"/>
      <c r="H23" s="51"/>
      <c r="I23" s="51"/>
      <c r="J23" s="51"/>
      <c r="K23" s="51"/>
      <c r="L23" s="23"/>
    </row>
    <row r="24" spans="5:14" ht="22.5" customHeight="1" x14ac:dyDescent="0.25">
      <c r="E24" s="51"/>
      <c r="F24" s="51"/>
      <c r="G24" s="51"/>
      <c r="H24" s="51"/>
      <c r="I24" s="51"/>
      <c r="J24" s="51"/>
      <c r="K24" s="51"/>
      <c r="L24" s="24"/>
    </row>
  </sheetData>
  <mergeCells count="15">
    <mergeCell ref="A2:N2"/>
    <mergeCell ref="A4:A10"/>
    <mergeCell ref="B4:N4"/>
    <mergeCell ref="B9:N9"/>
    <mergeCell ref="A11:B11"/>
    <mergeCell ref="E15:K15"/>
    <mergeCell ref="E16:K16"/>
    <mergeCell ref="E17:K17"/>
    <mergeCell ref="E18:K18"/>
    <mergeCell ref="E19:K19"/>
    <mergeCell ref="E20:K20"/>
    <mergeCell ref="E22:K22"/>
    <mergeCell ref="E23:K23"/>
    <mergeCell ref="E24:K24"/>
    <mergeCell ref="E21:K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48576"/>
  <sheetViews>
    <sheetView topLeftCell="I1" zoomScale="70" zoomScaleNormal="70" workbookViewId="0">
      <selection activeCell="O17" sqref="N17:O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8.85546875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1:14" ht="22.5" customHeight="1" x14ac:dyDescent="0.25">
      <c r="A4" s="53" t="s">
        <v>28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2.5" customHeight="1" x14ac:dyDescent="0.25">
      <c r="A5" s="54"/>
      <c r="B5" s="19" t="s">
        <v>14</v>
      </c>
      <c r="C5" s="20">
        <v>106113543</v>
      </c>
      <c r="D5" s="20">
        <v>95617404</v>
      </c>
      <c r="E5" s="20">
        <v>105702647</v>
      </c>
      <c r="F5" s="20">
        <v>94083856</v>
      </c>
      <c r="G5" s="20">
        <v>91645137</v>
      </c>
      <c r="H5" s="20">
        <v>84513367</v>
      </c>
      <c r="I5" s="20">
        <v>88029613</v>
      </c>
      <c r="J5" s="20">
        <v>91450588</v>
      </c>
      <c r="K5" s="20">
        <v>91717716.08446297</v>
      </c>
      <c r="L5" s="20">
        <v>95857105</v>
      </c>
      <c r="M5" s="20">
        <v>92979465</v>
      </c>
      <c r="N5" s="20">
        <v>99882843</v>
      </c>
    </row>
    <row r="6" spans="1:14" ht="22.5" customHeight="1" x14ac:dyDescent="0.25">
      <c r="A6" s="54"/>
      <c r="B6" s="19" t="s">
        <v>15</v>
      </c>
      <c r="C6" s="20">
        <v>8403204</v>
      </c>
      <c r="D6" s="20">
        <v>7070479</v>
      </c>
      <c r="E6" s="20">
        <v>7751782</v>
      </c>
      <c r="F6" s="20">
        <v>6532520</v>
      </c>
      <c r="G6" s="20">
        <v>5530018</v>
      </c>
      <c r="H6" s="20">
        <v>6422119</v>
      </c>
      <c r="I6" s="20">
        <v>6976733</v>
      </c>
      <c r="J6" s="20">
        <v>6958687</v>
      </c>
      <c r="K6" s="20">
        <v>6057242</v>
      </c>
      <c r="L6" s="20">
        <v>7341461</v>
      </c>
      <c r="M6" s="20">
        <v>7821925</v>
      </c>
      <c r="N6" s="20">
        <v>8459190</v>
      </c>
    </row>
    <row r="7" spans="1:14" ht="22.5" customHeight="1" x14ac:dyDescent="0.25">
      <c r="A7" s="54"/>
      <c r="B7" s="19" t="s">
        <v>16</v>
      </c>
      <c r="C7" s="20">
        <v>556003</v>
      </c>
      <c r="D7" s="20">
        <v>538580</v>
      </c>
      <c r="E7" s="20">
        <v>302860</v>
      </c>
      <c r="F7" s="20">
        <v>376180</v>
      </c>
      <c r="G7" s="20">
        <v>286316</v>
      </c>
      <c r="H7" s="20">
        <v>214856</v>
      </c>
      <c r="I7" s="20">
        <v>155088</v>
      </c>
      <c r="J7" s="20">
        <v>130071</v>
      </c>
      <c r="K7" s="20">
        <v>216931</v>
      </c>
      <c r="L7" s="20">
        <v>2477137</v>
      </c>
      <c r="M7" s="20">
        <v>2662739</v>
      </c>
      <c r="N7" s="20">
        <v>2880050</v>
      </c>
    </row>
    <row r="8" spans="1:14" ht="22.5" customHeight="1" x14ac:dyDescent="0.25">
      <c r="A8" s="54"/>
      <c r="B8" s="19" t="s">
        <v>17</v>
      </c>
      <c r="C8" s="20">
        <v>241519</v>
      </c>
      <c r="D8" s="20">
        <v>202380</v>
      </c>
      <c r="E8" s="20">
        <v>306703</v>
      </c>
      <c r="F8" s="20">
        <v>125417</v>
      </c>
      <c r="G8" s="20">
        <v>164663</v>
      </c>
      <c r="H8" s="20">
        <v>68420</v>
      </c>
      <c r="I8" s="20">
        <v>61826</v>
      </c>
      <c r="J8" s="20">
        <v>73376</v>
      </c>
      <c r="K8" s="20">
        <v>94893</v>
      </c>
      <c r="L8" s="20">
        <v>190101</v>
      </c>
      <c r="M8" s="20">
        <v>225760</v>
      </c>
      <c r="N8" s="20">
        <v>204369</v>
      </c>
    </row>
    <row r="9" spans="1:14" ht="22.5" customHeight="1" x14ac:dyDescent="0.25">
      <c r="A9" s="54"/>
      <c r="B9" s="55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22.5" customHeight="1" x14ac:dyDescent="0.25">
      <c r="A10" s="54"/>
      <c r="B10" s="20" t="s">
        <v>29</v>
      </c>
      <c r="C10" s="20">
        <v>1728</v>
      </c>
      <c r="D10" s="20">
        <v>4264</v>
      </c>
      <c r="E10" s="20">
        <v>4205</v>
      </c>
      <c r="F10" s="20">
        <v>3978</v>
      </c>
      <c r="G10" s="20">
        <v>3060</v>
      </c>
      <c r="H10" s="20">
        <v>2958</v>
      </c>
      <c r="I10" s="20">
        <v>3744</v>
      </c>
      <c r="J10" s="20">
        <v>2637</v>
      </c>
      <c r="K10" s="20">
        <v>6074</v>
      </c>
      <c r="L10" s="20">
        <v>4422</v>
      </c>
      <c r="M10" s="20">
        <v>4857</v>
      </c>
      <c r="N10" s="20">
        <v>4593</v>
      </c>
    </row>
    <row r="11" spans="1:14" ht="22.5" customHeight="1" x14ac:dyDescent="0.25">
      <c r="A11" s="49" t="s">
        <v>18</v>
      </c>
      <c r="B11" s="50"/>
      <c r="C11" s="10">
        <f>SUM(C5:C8,C10)</f>
        <v>115315997</v>
      </c>
      <c r="D11" s="10">
        <f t="shared" ref="D11:N11" si="0">SUM(D5:D8,D10)</f>
        <v>103433107</v>
      </c>
      <c r="E11" s="10">
        <f t="shared" si="0"/>
        <v>114068197</v>
      </c>
      <c r="F11" s="10">
        <f>SUM(F5:F8,F10)</f>
        <v>101121951</v>
      </c>
      <c r="G11" s="10">
        <f>SUM(G5:G8,G10)</f>
        <v>97629194</v>
      </c>
      <c r="H11" s="10">
        <f>SUM(H5:H8,H10)</f>
        <v>91221720</v>
      </c>
      <c r="I11" s="10">
        <f>SUM(I5:I8,I10)</f>
        <v>95227004</v>
      </c>
      <c r="J11" s="10">
        <f>SUM(J5:J8,J10)</f>
        <v>98615359</v>
      </c>
      <c r="K11" s="10">
        <f t="shared" si="0"/>
        <v>98092856.08446297</v>
      </c>
      <c r="L11" s="10">
        <f t="shared" si="0"/>
        <v>105870226</v>
      </c>
      <c r="M11" s="10">
        <f t="shared" si="0"/>
        <v>103694746</v>
      </c>
      <c r="N11" s="10">
        <f t="shared" si="0"/>
        <v>111431045</v>
      </c>
    </row>
    <row r="13" spans="1:14" ht="40.5" customHeight="1" x14ac:dyDescent="0.25">
      <c r="B13" s="25"/>
      <c r="C13" s="58"/>
      <c r="D13" s="58"/>
      <c r="E13" s="58"/>
      <c r="F13" s="58"/>
      <c r="G13" s="58"/>
      <c r="H13" s="58"/>
      <c r="I13" s="58"/>
      <c r="L13" s="21"/>
      <c r="N13" s="28"/>
    </row>
    <row r="14" spans="1:14" ht="40.5" customHeight="1" x14ac:dyDescent="0.3">
      <c r="B14" s="25"/>
      <c r="C14" s="31"/>
      <c r="D14" s="30"/>
      <c r="E14" s="30"/>
      <c r="F14" s="30"/>
      <c r="G14" s="30"/>
      <c r="H14" s="30"/>
      <c r="I14" s="30"/>
      <c r="J14" s="32"/>
      <c r="K14" s="13"/>
      <c r="L14" s="21"/>
      <c r="N14" s="28"/>
    </row>
    <row r="15" spans="1:14" ht="22.5" customHeight="1" x14ac:dyDescent="0.25">
      <c r="B15" s="25"/>
      <c r="C15" s="25"/>
      <c r="D15" s="25"/>
      <c r="E15" s="25"/>
      <c r="F15" s="25"/>
      <c r="G15" s="25"/>
      <c r="H15" s="25"/>
      <c r="I15" s="33"/>
      <c r="J15" s="13"/>
      <c r="K15" s="13"/>
      <c r="L15" s="21"/>
      <c r="M15" s="29"/>
      <c r="N15" s="28"/>
    </row>
    <row r="16" spans="1:14" ht="22.5" customHeight="1" x14ac:dyDescent="0.25">
      <c r="B16" s="25"/>
      <c r="C16" s="25"/>
      <c r="D16" s="25"/>
      <c r="E16" s="25"/>
      <c r="F16" s="25"/>
      <c r="G16" s="25"/>
      <c r="H16" s="25"/>
      <c r="J16" s="13"/>
      <c r="K16" s="13"/>
      <c r="L16" s="21"/>
      <c r="M16" s="29"/>
    </row>
    <row r="17" spans="2:14" ht="22.5" customHeight="1" x14ac:dyDescent="0.25">
      <c r="B17" s="25"/>
      <c r="C17" s="25"/>
      <c r="D17" s="25"/>
      <c r="E17" s="25"/>
      <c r="F17" s="25"/>
      <c r="G17" s="25"/>
      <c r="H17" s="25"/>
      <c r="J17" s="13"/>
      <c r="L17" s="21"/>
      <c r="M17" s="29"/>
    </row>
    <row r="18" spans="2:14" ht="22.5" customHeight="1" x14ac:dyDescent="0.25">
      <c r="B18" s="25"/>
      <c r="C18" s="25"/>
      <c r="D18" s="25"/>
      <c r="E18" s="25"/>
      <c r="F18" s="25"/>
      <c r="G18" s="25"/>
      <c r="H18" s="25"/>
      <c r="I18" s="33"/>
      <c r="J18" s="13"/>
      <c r="K18" s="13"/>
      <c r="L18" s="21"/>
      <c r="M18" s="29"/>
    </row>
    <row r="19" spans="2:14" ht="22.5" customHeight="1" x14ac:dyDescent="0.25">
      <c r="B19" s="25"/>
      <c r="C19" s="25"/>
      <c r="D19" s="25"/>
      <c r="E19" s="25"/>
      <c r="F19" s="25"/>
      <c r="G19" s="25"/>
      <c r="H19" s="25"/>
      <c r="I19" s="33"/>
      <c r="J19" s="21"/>
      <c r="L19" s="21"/>
      <c r="N19" s="28"/>
    </row>
    <row r="20" spans="2:14" ht="22.5" customHeight="1" x14ac:dyDescent="0.25">
      <c r="B20" s="25"/>
      <c r="C20" s="25"/>
      <c r="D20" s="25"/>
      <c r="E20" s="25"/>
      <c r="F20" s="25"/>
      <c r="G20" s="25"/>
      <c r="H20" s="25"/>
      <c r="I20" s="33"/>
      <c r="J20" s="21"/>
      <c r="L20" s="21"/>
    </row>
    <row r="21" spans="2:14" ht="22.5" customHeight="1" x14ac:dyDescent="0.25">
      <c r="B21" s="25"/>
      <c r="C21" s="25"/>
      <c r="D21" s="25"/>
      <c r="E21" s="25"/>
      <c r="F21" s="25"/>
      <c r="G21" s="25"/>
      <c r="H21" s="25"/>
      <c r="I21" s="33"/>
      <c r="J21" s="21"/>
      <c r="L21" s="21"/>
    </row>
    <row r="22" spans="2:14" ht="22.5" customHeight="1" x14ac:dyDescent="0.25">
      <c r="B22" s="25"/>
      <c r="C22" s="25"/>
      <c r="D22" s="25"/>
      <c r="E22" s="25"/>
      <c r="F22" s="25"/>
      <c r="G22" s="25"/>
      <c r="H22" s="25"/>
      <c r="I22" s="33"/>
      <c r="J22" s="21"/>
      <c r="L22" s="21"/>
    </row>
    <row r="23" spans="2:14" ht="22.5" customHeight="1" x14ac:dyDescent="0.25">
      <c r="B23" s="25"/>
      <c r="C23" s="25"/>
      <c r="D23" s="25"/>
      <c r="E23" s="25"/>
      <c r="F23" s="25"/>
      <c r="G23" s="25"/>
      <c r="H23" s="25"/>
      <c r="I23" s="33"/>
      <c r="J23" s="21"/>
      <c r="L23" s="21"/>
    </row>
    <row r="24" spans="2:14" ht="22.5" customHeight="1" x14ac:dyDescent="0.25">
      <c r="B24" s="25"/>
      <c r="C24" s="25"/>
      <c r="D24" s="25"/>
      <c r="E24" s="25"/>
      <c r="F24" s="25"/>
      <c r="G24" s="25"/>
      <c r="H24" s="25"/>
      <c r="I24" s="33"/>
      <c r="J24" s="21"/>
      <c r="L24" s="21"/>
    </row>
    <row r="25" spans="2:14" ht="22.5" customHeight="1" x14ac:dyDescent="0.25">
      <c r="B25" s="25"/>
      <c r="C25" s="25"/>
      <c r="D25" s="25"/>
      <c r="E25" s="25"/>
      <c r="F25" s="25"/>
      <c r="G25" s="25"/>
      <c r="H25" s="25"/>
      <c r="I25" s="33"/>
      <c r="J25" s="21"/>
      <c r="L25" s="22"/>
    </row>
    <row r="26" spans="2:14" ht="22.5" customHeight="1" x14ac:dyDescent="0.25">
      <c r="B26" s="25"/>
      <c r="C26" s="25"/>
      <c r="D26" s="25"/>
      <c r="E26" s="25"/>
      <c r="F26" s="25"/>
      <c r="G26" s="25"/>
      <c r="H26" s="25"/>
      <c r="I26" s="33"/>
      <c r="J26" s="21"/>
    </row>
    <row r="27" spans="2:14" ht="22.5" customHeight="1" x14ac:dyDescent="0.25">
      <c r="B27" s="25"/>
      <c r="C27" s="25"/>
      <c r="D27" s="25"/>
      <c r="E27" s="25"/>
      <c r="F27" s="25"/>
      <c r="G27" s="25"/>
      <c r="H27" s="25"/>
      <c r="I27" s="33"/>
      <c r="J27" s="22"/>
    </row>
    <row r="1048576" spans="10:10" ht="22.5" customHeight="1" x14ac:dyDescent="0.25">
      <c r="J1048576" s="13"/>
    </row>
  </sheetData>
  <mergeCells count="6">
    <mergeCell ref="C13:I13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48576"/>
  <sheetViews>
    <sheetView topLeftCell="D1" zoomScale="84" zoomScaleNormal="84" workbookViewId="0">
      <selection activeCell="C33" sqref="C3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8.85546875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1:14" ht="22.5" customHeight="1" x14ac:dyDescent="0.25">
      <c r="A4" s="53" t="s">
        <v>28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2.5" customHeight="1" x14ac:dyDescent="0.25">
      <c r="A5" s="54"/>
      <c r="B5" s="19" t="s">
        <v>14</v>
      </c>
      <c r="C5" s="20">
        <v>99545483</v>
      </c>
      <c r="D5" s="20">
        <v>93019646</v>
      </c>
      <c r="E5" s="20">
        <v>98343362</v>
      </c>
      <c r="F5" s="20">
        <v>89443006</v>
      </c>
      <c r="G5" s="20">
        <v>90281950</v>
      </c>
      <c r="H5" s="20">
        <v>85708008</v>
      </c>
      <c r="I5" s="20">
        <v>87064687</v>
      </c>
      <c r="J5" s="20">
        <v>86208683</v>
      </c>
      <c r="K5" s="20">
        <v>85682921</v>
      </c>
      <c r="L5" s="20">
        <v>92858283.968999997</v>
      </c>
      <c r="M5" s="20">
        <v>95050490</v>
      </c>
      <c r="N5" s="20">
        <v>100471500</v>
      </c>
    </row>
    <row r="6" spans="1:14" ht="22.5" customHeight="1" x14ac:dyDescent="0.25">
      <c r="A6" s="54"/>
      <c r="B6" s="19" t="s">
        <v>15</v>
      </c>
      <c r="C6" s="20">
        <v>8382639</v>
      </c>
      <c r="D6" s="20">
        <v>7566165</v>
      </c>
      <c r="E6" s="20">
        <v>8195135</v>
      </c>
      <c r="F6" s="20">
        <v>7237530</v>
      </c>
      <c r="G6" s="20">
        <v>6290492</v>
      </c>
      <c r="H6" s="20">
        <v>4925867</v>
      </c>
      <c r="I6" s="20">
        <v>4824886</v>
      </c>
      <c r="J6" s="20">
        <v>6070125</v>
      </c>
      <c r="K6" s="20">
        <v>5954233</v>
      </c>
      <c r="L6" s="20">
        <v>7398145</v>
      </c>
      <c r="M6" s="20">
        <v>8628133</v>
      </c>
      <c r="N6" s="20">
        <v>9656827</v>
      </c>
    </row>
    <row r="7" spans="1:14" ht="22.5" customHeight="1" x14ac:dyDescent="0.25">
      <c r="A7" s="54"/>
      <c r="B7" s="19" t="s">
        <v>16</v>
      </c>
      <c r="C7" s="20">
        <v>2800662</v>
      </c>
      <c r="D7" s="20">
        <v>2490401</v>
      </c>
      <c r="E7" s="20">
        <v>2963986</v>
      </c>
      <c r="F7" s="20">
        <v>2444992</v>
      </c>
      <c r="G7" s="20">
        <v>2119492</v>
      </c>
      <c r="H7" s="20">
        <v>1809383</v>
      </c>
      <c r="I7" s="20">
        <v>0</v>
      </c>
      <c r="J7" s="20">
        <v>148399</v>
      </c>
      <c r="K7" s="20">
        <v>219010</v>
      </c>
      <c r="L7" s="20">
        <v>380408</v>
      </c>
      <c r="M7" s="20">
        <v>461731</v>
      </c>
      <c r="N7" s="20">
        <v>522910</v>
      </c>
    </row>
    <row r="8" spans="1:14" ht="22.5" customHeight="1" x14ac:dyDescent="0.25">
      <c r="A8" s="54"/>
      <c r="B8" s="19" t="s">
        <v>17</v>
      </c>
      <c r="C8" s="20">
        <v>245759</v>
      </c>
      <c r="D8" s="20">
        <v>230955</v>
      </c>
      <c r="E8" s="20">
        <v>210583</v>
      </c>
      <c r="F8" s="20">
        <v>181688</v>
      </c>
      <c r="G8" s="20">
        <v>160162</v>
      </c>
      <c r="H8" s="20">
        <v>70698</v>
      </c>
      <c r="I8" s="20">
        <v>57576</v>
      </c>
      <c r="J8" s="20">
        <v>69156</v>
      </c>
      <c r="K8" s="20">
        <v>74016</v>
      </c>
      <c r="L8" s="20">
        <v>171239</v>
      </c>
      <c r="M8" s="20">
        <v>175784</v>
      </c>
      <c r="N8" s="20">
        <v>156289</v>
      </c>
    </row>
    <row r="9" spans="1:14" ht="22.5" customHeight="1" x14ac:dyDescent="0.25">
      <c r="A9" s="54"/>
      <c r="B9" s="55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22.5" customHeight="1" x14ac:dyDescent="0.25">
      <c r="A10" s="54"/>
      <c r="B10" s="20" t="s">
        <v>29</v>
      </c>
      <c r="C10" s="20">
        <v>2617</v>
      </c>
      <c r="D10" s="20">
        <v>5710</v>
      </c>
      <c r="E10" s="20">
        <v>5021</v>
      </c>
      <c r="F10" s="20">
        <v>4163</v>
      </c>
      <c r="G10" s="20">
        <v>3075</v>
      </c>
      <c r="H10" s="20">
        <v>4582</v>
      </c>
      <c r="I10" s="20">
        <v>3738</v>
      </c>
      <c r="J10" s="20">
        <v>3058</v>
      </c>
      <c r="K10" s="20">
        <v>3981</v>
      </c>
      <c r="L10" s="20">
        <v>3482</v>
      </c>
      <c r="M10" s="20">
        <v>4971</v>
      </c>
      <c r="N10" s="20">
        <v>4926</v>
      </c>
    </row>
    <row r="11" spans="1:14" ht="22.5" customHeight="1" x14ac:dyDescent="0.25">
      <c r="A11" s="49" t="s">
        <v>18</v>
      </c>
      <c r="B11" s="50"/>
      <c r="C11" s="10">
        <f>SUM(C5:C8,C10)</f>
        <v>110977160</v>
      </c>
      <c r="D11" s="10">
        <f t="shared" ref="D11:N11" si="0">SUM(D5:D8,D10)</f>
        <v>103312877</v>
      </c>
      <c r="E11" s="10">
        <f t="shared" si="0"/>
        <v>109718087</v>
      </c>
      <c r="F11" s="10">
        <f>SUM(F5:F8,F10)</f>
        <v>99311379</v>
      </c>
      <c r="G11" s="10">
        <f>SUM(G5:G8,G10)</f>
        <v>98855171</v>
      </c>
      <c r="H11" s="10">
        <f>SUM(H5:H8,H10)</f>
        <v>92518538</v>
      </c>
      <c r="I11" s="10">
        <f>SUM(I5:I8,I10)</f>
        <v>91950887</v>
      </c>
      <c r="J11" s="10">
        <f>SUM(J5:J8,J10)</f>
        <v>92499421</v>
      </c>
      <c r="K11" s="10">
        <f t="shared" si="0"/>
        <v>91934161</v>
      </c>
      <c r="L11" s="10">
        <f t="shared" si="0"/>
        <v>100811557.969</v>
      </c>
      <c r="M11" s="10">
        <f t="shared" si="0"/>
        <v>104321109</v>
      </c>
      <c r="N11" s="10">
        <f t="shared" si="0"/>
        <v>110812452</v>
      </c>
    </row>
    <row r="13" spans="1:14" ht="40.5" customHeight="1" x14ac:dyDescent="0.25">
      <c r="B13" s="25"/>
      <c r="C13" s="58"/>
      <c r="D13" s="58"/>
      <c r="E13" s="58"/>
      <c r="F13" s="58"/>
      <c r="G13" s="58"/>
      <c r="H13" s="58"/>
      <c r="I13" s="58"/>
      <c r="L13" s="21"/>
      <c r="N13" s="28"/>
    </row>
    <row r="14" spans="1:14" ht="40.5" customHeight="1" x14ac:dyDescent="0.3">
      <c r="B14" s="25"/>
      <c r="C14" s="31"/>
      <c r="D14" s="30"/>
      <c r="E14" s="30"/>
      <c r="F14" s="30"/>
      <c r="G14" s="30"/>
      <c r="H14" s="30"/>
      <c r="I14" s="30"/>
      <c r="J14" s="32"/>
      <c r="K14" s="13"/>
      <c r="L14" s="21"/>
      <c r="N14" s="28"/>
    </row>
    <row r="15" spans="1:14" ht="22.5" customHeight="1" x14ac:dyDescent="0.25">
      <c r="B15" s="25"/>
      <c r="C15" s="25"/>
      <c r="D15" s="25"/>
      <c r="E15" s="25"/>
      <c r="F15" s="25"/>
      <c r="G15" s="25"/>
      <c r="H15" s="25"/>
      <c r="I15" s="33"/>
      <c r="J15" s="13"/>
      <c r="K15" s="13"/>
      <c r="L15" s="21"/>
      <c r="M15" s="29"/>
      <c r="N15" s="28"/>
    </row>
    <row r="16" spans="1:14" ht="22.5" customHeight="1" x14ac:dyDescent="0.25">
      <c r="B16" s="25"/>
      <c r="C16" s="25"/>
      <c r="D16" s="25"/>
      <c r="E16" s="25"/>
      <c r="F16" s="25"/>
      <c r="G16" s="25"/>
      <c r="H16" s="25"/>
      <c r="K16" s="13"/>
      <c r="L16" s="21"/>
      <c r="M16" s="29"/>
    </row>
    <row r="17" spans="2:14" ht="22.5" customHeight="1" x14ac:dyDescent="0.25">
      <c r="B17" s="25"/>
      <c r="C17" s="25"/>
      <c r="D17" s="25"/>
      <c r="E17" s="25"/>
      <c r="F17" s="25"/>
      <c r="G17" s="25"/>
      <c r="H17" s="25"/>
      <c r="L17" s="21"/>
      <c r="M17" s="29"/>
    </row>
    <row r="18" spans="2:14" ht="22.5" customHeight="1" x14ac:dyDescent="0.25">
      <c r="B18" s="25"/>
      <c r="C18" s="25"/>
      <c r="D18" s="25"/>
      <c r="E18" s="25"/>
      <c r="F18" s="25"/>
      <c r="G18" s="25"/>
      <c r="H18" s="25"/>
      <c r="I18" s="33"/>
      <c r="J18" s="13"/>
      <c r="K18" s="13"/>
      <c r="L18" s="21"/>
      <c r="M18" s="29"/>
    </row>
    <row r="19" spans="2:14" ht="22.5" customHeight="1" x14ac:dyDescent="0.25">
      <c r="B19" s="25"/>
      <c r="C19" s="25"/>
      <c r="D19" s="25"/>
      <c r="E19" s="25"/>
      <c r="F19" s="25"/>
      <c r="G19" s="25"/>
      <c r="H19" s="25"/>
      <c r="I19" s="33"/>
      <c r="J19" s="21"/>
      <c r="L19" s="21"/>
      <c r="N19" s="28"/>
    </row>
    <row r="20" spans="2:14" ht="22.5" customHeight="1" x14ac:dyDescent="0.25">
      <c r="B20" s="25"/>
      <c r="C20" s="25"/>
      <c r="D20" s="25"/>
      <c r="E20" s="25"/>
      <c r="F20" s="25"/>
      <c r="G20" s="25"/>
      <c r="H20" s="25"/>
      <c r="I20" s="33"/>
      <c r="J20" s="21"/>
      <c r="L20" s="21"/>
    </row>
    <row r="21" spans="2:14" ht="22.5" customHeight="1" x14ac:dyDescent="0.25">
      <c r="B21" s="25"/>
      <c r="C21" s="25"/>
      <c r="D21" s="25"/>
      <c r="E21" s="25"/>
      <c r="F21" s="25"/>
      <c r="G21" s="25"/>
      <c r="H21" s="25"/>
      <c r="I21" s="33"/>
      <c r="J21" s="21"/>
      <c r="L21" s="21"/>
    </row>
    <row r="22" spans="2:14" ht="22.5" customHeight="1" x14ac:dyDescent="0.25">
      <c r="B22" s="25"/>
      <c r="C22" s="25"/>
      <c r="D22" s="25"/>
      <c r="E22" s="25"/>
      <c r="F22" s="25"/>
      <c r="G22" s="25"/>
      <c r="H22" s="25"/>
      <c r="I22" s="33"/>
      <c r="J22" s="21"/>
      <c r="L22" s="21"/>
    </row>
    <row r="23" spans="2:14" ht="22.5" customHeight="1" x14ac:dyDescent="0.25">
      <c r="B23" s="25"/>
      <c r="C23" s="25"/>
      <c r="D23" s="25"/>
      <c r="E23" s="25"/>
      <c r="F23" s="25"/>
      <c r="G23" s="25"/>
      <c r="H23" s="25"/>
      <c r="I23" s="33"/>
      <c r="J23" s="21"/>
      <c r="L23" s="21"/>
    </row>
    <row r="24" spans="2:14" ht="22.5" customHeight="1" x14ac:dyDescent="0.25">
      <c r="B24" s="25"/>
      <c r="C24" s="25"/>
      <c r="D24" s="25"/>
      <c r="E24" s="25"/>
      <c r="F24" s="25"/>
      <c r="G24" s="25"/>
      <c r="H24" s="25"/>
      <c r="I24" s="33"/>
      <c r="J24" s="21"/>
      <c r="L24" s="21"/>
    </row>
    <row r="25" spans="2:14" ht="22.5" customHeight="1" x14ac:dyDescent="0.25">
      <c r="B25" s="25"/>
      <c r="C25" s="25"/>
      <c r="D25" s="25"/>
      <c r="E25" s="25"/>
      <c r="F25" s="25"/>
      <c r="G25" s="25"/>
      <c r="H25" s="25"/>
      <c r="I25" s="33"/>
      <c r="J25" s="21"/>
      <c r="L25" s="22"/>
    </row>
    <row r="26" spans="2:14" ht="22.5" customHeight="1" x14ac:dyDescent="0.25">
      <c r="B26" s="25"/>
      <c r="C26" s="25"/>
      <c r="D26" s="25"/>
      <c r="E26" s="25"/>
      <c r="F26" s="25"/>
      <c r="G26" s="25"/>
      <c r="H26" s="25"/>
      <c r="I26" s="33"/>
      <c r="J26" s="21"/>
    </row>
    <row r="27" spans="2:14" ht="22.5" customHeight="1" x14ac:dyDescent="0.25">
      <c r="B27" s="25"/>
      <c r="C27" s="25"/>
      <c r="D27" s="25"/>
      <c r="E27" s="25"/>
      <c r="F27" s="25"/>
      <c r="G27" s="25"/>
      <c r="H27" s="25"/>
      <c r="I27" s="33"/>
      <c r="J27" s="22"/>
    </row>
    <row r="1048576" spans="10:10" ht="22.5" customHeight="1" x14ac:dyDescent="0.25">
      <c r="J1048576" s="13"/>
    </row>
  </sheetData>
  <mergeCells count="6">
    <mergeCell ref="C13:I13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48576"/>
  <sheetViews>
    <sheetView zoomScale="55" zoomScaleNormal="55" workbookViewId="0">
      <selection activeCell="C33" sqref="C3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140625" style="1" customWidth="1"/>
    <col min="15" max="15" width="9.140625" style="35"/>
    <col min="16" max="16" width="9.140625" style="1"/>
    <col min="17" max="17" width="11.5703125" style="35" bestFit="1" customWidth="1"/>
    <col min="18" max="16384" width="9.140625" style="1"/>
  </cols>
  <sheetData>
    <row r="2" spans="1:17" ht="42.75" customHeight="1" x14ac:dyDescent="0.25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7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36"/>
      <c r="Q3" s="36"/>
    </row>
    <row r="4" spans="1:17" ht="22.5" customHeight="1" x14ac:dyDescent="0.25">
      <c r="A4" s="53" t="s">
        <v>28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7" ht="22.5" customHeight="1" x14ac:dyDescent="0.25">
      <c r="A5" s="54"/>
      <c r="B5" s="19" t="s">
        <v>14</v>
      </c>
      <c r="C5" s="20">
        <v>99972782.884000003</v>
      </c>
      <c r="D5" s="20">
        <v>85023566.070999995</v>
      </c>
      <c r="E5" s="20">
        <v>97291241.783999994</v>
      </c>
      <c r="F5" s="20">
        <v>90489306.937000006</v>
      </c>
      <c r="G5" s="20">
        <v>90789793.758000001</v>
      </c>
      <c r="H5" s="20">
        <v>83244993.106999993</v>
      </c>
      <c r="I5" s="20">
        <v>85718986.685000002</v>
      </c>
      <c r="J5" s="20">
        <v>87872058.893000007</v>
      </c>
      <c r="K5" s="20">
        <v>90020611.479000002</v>
      </c>
      <c r="L5" s="20">
        <v>94940590.001000002</v>
      </c>
      <c r="M5" s="20">
        <v>97330014.463</v>
      </c>
      <c r="N5" s="20">
        <v>96514738.702999994</v>
      </c>
      <c r="O5" s="35">
        <f>N5/M5</f>
        <v>0.99162359355951879</v>
      </c>
      <c r="Q5" s="34">
        <f>AVERAGE(C5:N5)</f>
        <v>91600723.73041667</v>
      </c>
    </row>
    <row r="6" spans="1:17" ht="22.5" customHeight="1" x14ac:dyDescent="0.25">
      <c r="A6" s="54"/>
      <c r="B6" s="19" t="s">
        <v>15</v>
      </c>
      <c r="C6" s="20">
        <v>8706698</v>
      </c>
      <c r="D6" s="20">
        <v>7096238</v>
      </c>
      <c r="E6" s="20">
        <v>7081037</v>
      </c>
      <c r="F6" s="20">
        <v>6542825</v>
      </c>
      <c r="G6" s="20">
        <v>6675727</v>
      </c>
      <c r="H6" s="20">
        <v>6466434</v>
      </c>
      <c r="I6" s="20">
        <v>6219654</v>
      </c>
      <c r="J6" s="20">
        <v>6757777</v>
      </c>
      <c r="K6" s="20">
        <v>6153234</v>
      </c>
      <c r="L6" s="20">
        <v>7662249</v>
      </c>
      <c r="M6" s="20">
        <v>7721867</v>
      </c>
      <c r="N6" s="20">
        <v>7287406</v>
      </c>
      <c r="O6" s="35">
        <f t="shared" ref="O6:O8" si="0">N6/M6</f>
        <v>0.94373627517801073</v>
      </c>
      <c r="Q6" s="34">
        <f t="shared" ref="Q6:Q10" si="1">AVERAGE(C6:N6)</f>
        <v>7030928.833333333</v>
      </c>
    </row>
    <row r="7" spans="1:17" ht="22.5" customHeight="1" x14ac:dyDescent="0.25">
      <c r="A7" s="54"/>
      <c r="B7" s="19" t="s">
        <v>16</v>
      </c>
      <c r="C7" s="20">
        <v>523111</v>
      </c>
      <c r="D7" s="20">
        <v>553573</v>
      </c>
      <c r="E7" s="20">
        <v>429204</v>
      </c>
      <c r="F7" s="20">
        <v>347593</v>
      </c>
      <c r="G7" s="20">
        <v>122617</v>
      </c>
      <c r="H7" s="20">
        <v>46849</v>
      </c>
      <c r="I7" s="20">
        <v>142811</v>
      </c>
      <c r="J7" s="20">
        <v>223402</v>
      </c>
      <c r="K7" s="20">
        <v>267917</v>
      </c>
      <c r="L7" s="20">
        <v>364113</v>
      </c>
      <c r="M7" s="20">
        <v>445446</v>
      </c>
      <c r="N7" s="20">
        <v>520156</v>
      </c>
      <c r="O7" s="35">
        <f t="shared" si="0"/>
        <v>1.1677195440075789</v>
      </c>
      <c r="Q7" s="34">
        <f t="shared" si="1"/>
        <v>332232.66666666669</v>
      </c>
    </row>
    <row r="8" spans="1:17" ht="22.5" customHeight="1" x14ac:dyDescent="0.25">
      <c r="A8" s="54"/>
      <c r="B8" s="19" t="s">
        <v>17</v>
      </c>
      <c r="C8" s="20">
        <v>186701</v>
      </c>
      <c r="D8" s="20">
        <v>164552</v>
      </c>
      <c r="E8" s="20">
        <v>157752</v>
      </c>
      <c r="F8" s="20">
        <v>150804</v>
      </c>
      <c r="G8" s="20">
        <v>86632</v>
      </c>
      <c r="H8" s="20">
        <v>54733</v>
      </c>
      <c r="I8" s="20">
        <v>238666</v>
      </c>
      <c r="J8" s="20">
        <v>69390</v>
      </c>
      <c r="K8" s="20">
        <v>100314</v>
      </c>
      <c r="L8" s="20">
        <v>186403</v>
      </c>
      <c r="M8" s="20">
        <v>182391</v>
      </c>
      <c r="N8" s="20">
        <v>104668</v>
      </c>
      <c r="O8" s="35">
        <f t="shared" si="0"/>
        <v>0.57386603505655431</v>
      </c>
      <c r="Q8" s="34">
        <f t="shared" si="1"/>
        <v>140250.5</v>
      </c>
    </row>
    <row r="9" spans="1:17" ht="22.5" customHeight="1" x14ac:dyDescent="0.25">
      <c r="A9" s="54"/>
      <c r="B9" s="55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Q9" s="34"/>
    </row>
    <row r="10" spans="1:17" ht="22.5" customHeight="1" x14ac:dyDescent="0.25">
      <c r="A10" s="54"/>
      <c r="B10" s="20" t="s">
        <v>29</v>
      </c>
      <c r="C10" s="20">
        <v>3707</v>
      </c>
      <c r="D10" s="20">
        <v>4992</v>
      </c>
      <c r="E10" s="20">
        <v>5499</v>
      </c>
      <c r="F10" s="20">
        <v>4274</v>
      </c>
      <c r="G10" s="20">
        <v>2456</v>
      </c>
      <c r="H10" s="20">
        <v>5314</v>
      </c>
      <c r="I10" s="20">
        <v>4461</v>
      </c>
      <c r="J10" s="20">
        <v>4566</v>
      </c>
      <c r="K10" s="20">
        <v>4266</v>
      </c>
      <c r="L10" s="20">
        <v>4155</v>
      </c>
      <c r="M10" s="20">
        <v>4357</v>
      </c>
      <c r="N10" s="20">
        <v>4216</v>
      </c>
      <c r="O10" s="35">
        <f>N10/M10</f>
        <v>0.96763828322240075</v>
      </c>
      <c r="Q10" s="34">
        <f t="shared" si="1"/>
        <v>4355.25</v>
      </c>
    </row>
    <row r="11" spans="1:17" ht="22.5" customHeight="1" x14ac:dyDescent="0.25">
      <c r="A11" s="49" t="s">
        <v>18</v>
      </c>
      <c r="B11" s="50"/>
      <c r="C11" s="10">
        <f>SUM(C5:C8,C10)</f>
        <v>109392999.884</v>
      </c>
      <c r="D11" s="10">
        <f t="shared" ref="D11:N11" si="2">SUM(D5:D8,D10)</f>
        <v>92842921.070999995</v>
      </c>
      <c r="E11" s="10">
        <f t="shared" si="2"/>
        <v>104964733.78399999</v>
      </c>
      <c r="F11" s="10">
        <f>SUM(F5:F8,F10)</f>
        <v>97534802.937000006</v>
      </c>
      <c r="G11" s="10">
        <f>SUM(G5:G8,G10)</f>
        <v>97677225.758000001</v>
      </c>
      <c r="H11" s="10">
        <f>SUM(H5:H8,H10)</f>
        <v>89818323.106999993</v>
      </c>
      <c r="I11" s="10">
        <f>SUM(I5:I8,I10)</f>
        <v>92324578.685000002</v>
      </c>
      <c r="J11" s="10">
        <f>SUM(J5:J8,J10)</f>
        <v>94927193.893000007</v>
      </c>
      <c r="K11" s="10">
        <f t="shared" si="2"/>
        <v>96546342.479000002</v>
      </c>
      <c r="L11" s="10">
        <f t="shared" si="2"/>
        <v>103157510.001</v>
      </c>
      <c r="M11" s="10">
        <f t="shared" si="2"/>
        <v>105684075.463</v>
      </c>
      <c r="N11" s="10">
        <f t="shared" si="2"/>
        <v>104431184.70299999</v>
      </c>
    </row>
    <row r="13" spans="1:17" ht="40.5" customHeight="1" x14ac:dyDescent="0.25">
      <c r="B13" s="25"/>
      <c r="C13" s="58"/>
      <c r="D13" s="58"/>
      <c r="E13" s="58"/>
      <c r="F13" s="58"/>
      <c r="G13" s="58"/>
      <c r="H13" s="58"/>
      <c r="I13" s="58"/>
      <c r="L13" s="21"/>
      <c r="N13" s="28"/>
    </row>
    <row r="14" spans="1:17" ht="40.5" customHeight="1" x14ac:dyDescent="0.3">
      <c r="B14" s="25"/>
      <c r="C14" s="31"/>
      <c r="D14" s="30"/>
      <c r="E14" s="30"/>
      <c r="F14" s="30"/>
      <c r="G14" s="30"/>
      <c r="H14" s="30"/>
      <c r="I14" s="30"/>
      <c r="J14" s="32"/>
      <c r="K14" s="13"/>
      <c r="L14" s="21"/>
      <c r="N14" s="28"/>
    </row>
    <row r="15" spans="1:17" ht="22.5" customHeight="1" x14ac:dyDescent="0.25">
      <c r="B15" s="25"/>
      <c r="C15" s="25"/>
      <c r="D15" s="25"/>
      <c r="E15" s="25"/>
      <c r="F15" s="25"/>
      <c r="G15" s="25"/>
      <c r="H15" s="25"/>
      <c r="I15" s="33"/>
      <c r="J15" s="13"/>
      <c r="K15" s="13"/>
      <c r="L15" s="21"/>
      <c r="M15" s="29"/>
      <c r="N15" s="28"/>
    </row>
    <row r="16" spans="1:17" ht="22.5" customHeight="1" x14ac:dyDescent="0.25">
      <c r="B16" s="25"/>
      <c r="C16" s="25"/>
      <c r="D16" s="25"/>
      <c r="E16" s="25"/>
      <c r="F16" s="25"/>
      <c r="G16" s="25"/>
      <c r="H16" s="25"/>
      <c r="K16" s="13"/>
      <c r="L16" s="21"/>
      <c r="M16" s="29"/>
    </row>
    <row r="17" spans="2:14" ht="22.5" customHeight="1" x14ac:dyDescent="0.25">
      <c r="B17" s="25"/>
      <c r="C17" s="25"/>
      <c r="D17" s="25"/>
      <c r="E17" s="25"/>
      <c r="F17" s="25"/>
      <c r="G17" s="25"/>
      <c r="H17" s="25"/>
      <c r="L17" s="21"/>
      <c r="M17" s="29"/>
    </row>
    <row r="18" spans="2:14" ht="22.5" customHeight="1" x14ac:dyDescent="0.25">
      <c r="B18" s="25"/>
      <c r="C18" s="25"/>
      <c r="D18" s="25"/>
      <c r="E18" s="25"/>
      <c r="F18" s="25"/>
      <c r="G18" s="25"/>
      <c r="H18" s="25"/>
      <c r="I18" s="33"/>
      <c r="J18" s="13"/>
      <c r="K18" s="13"/>
      <c r="L18" s="21"/>
      <c r="M18" s="29"/>
    </row>
    <row r="19" spans="2:14" ht="22.5" customHeight="1" x14ac:dyDescent="0.25">
      <c r="B19" s="25"/>
      <c r="C19" s="25"/>
      <c r="D19" s="25"/>
      <c r="E19" s="25"/>
      <c r="F19" s="25"/>
      <c r="G19" s="25"/>
      <c r="H19" s="25"/>
      <c r="I19" s="33"/>
      <c r="J19" s="21"/>
      <c r="L19" s="21"/>
      <c r="N19" s="28"/>
    </row>
    <row r="20" spans="2:14" ht="22.5" customHeight="1" x14ac:dyDescent="0.25">
      <c r="B20" s="25"/>
      <c r="C20" s="25"/>
      <c r="D20" s="25"/>
      <c r="E20" s="25"/>
      <c r="F20" s="25"/>
      <c r="G20" s="25"/>
      <c r="H20" s="25"/>
      <c r="I20" s="33"/>
      <c r="J20" s="21"/>
      <c r="L20" s="21"/>
    </row>
    <row r="21" spans="2:14" ht="22.5" customHeight="1" x14ac:dyDescent="0.25">
      <c r="B21" s="25"/>
      <c r="C21" s="25"/>
      <c r="D21" s="25"/>
      <c r="E21" s="25"/>
      <c r="F21" s="25"/>
      <c r="G21" s="25"/>
      <c r="H21" s="25"/>
      <c r="I21" s="33"/>
      <c r="J21" s="21"/>
      <c r="L21" s="21"/>
    </row>
    <row r="22" spans="2:14" ht="22.5" customHeight="1" x14ac:dyDescent="0.25">
      <c r="B22" s="25"/>
      <c r="C22" s="25"/>
      <c r="D22" s="25"/>
      <c r="E22" s="25"/>
      <c r="F22" s="25"/>
      <c r="G22" s="25"/>
      <c r="H22" s="25"/>
      <c r="I22" s="33"/>
      <c r="J22" s="21"/>
      <c r="L22" s="21"/>
    </row>
    <row r="23" spans="2:14" ht="22.5" customHeight="1" x14ac:dyDescent="0.25">
      <c r="B23" s="25"/>
      <c r="C23" s="25"/>
      <c r="D23" s="25"/>
      <c r="E23" s="25"/>
      <c r="F23" s="25"/>
      <c r="G23" s="25"/>
      <c r="H23" s="25"/>
      <c r="I23" s="33"/>
      <c r="J23" s="21"/>
      <c r="L23" s="21"/>
    </row>
    <row r="24" spans="2:14" ht="22.5" customHeight="1" x14ac:dyDescent="0.25">
      <c r="B24" s="25"/>
      <c r="C24" s="25"/>
      <c r="D24" s="25"/>
      <c r="E24" s="25"/>
      <c r="F24" s="25"/>
      <c r="G24" s="25"/>
      <c r="H24" s="25"/>
      <c r="I24" s="33"/>
      <c r="J24" s="21"/>
      <c r="L24" s="21"/>
    </row>
    <row r="25" spans="2:14" ht="22.5" customHeight="1" x14ac:dyDescent="0.25">
      <c r="B25" s="25"/>
      <c r="C25" s="25"/>
      <c r="D25" s="25"/>
      <c r="E25" s="25"/>
      <c r="F25" s="25"/>
      <c r="G25" s="25"/>
      <c r="H25" s="25"/>
      <c r="I25" s="33"/>
      <c r="J25" s="21"/>
      <c r="L25" s="22"/>
    </row>
    <row r="26" spans="2:14" ht="22.5" customHeight="1" x14ac:dyDescent="0.25">
      <c r="B26" s="25"/>
      <c r="C26" s="25"/>
      <c r="D26" s="25"/>
      <c r="E26" s="25"/>
      <c r="F26" s="25"/>
      <c r="G26" s="25"/>
      <c r="H26" s="25"/>
      <c r="I26" s="33"/>
      <c r="J26" s="21"/>
    </row>
    <row r="27" spans="2:14" ht="22.5" customHeight="1" x14ac:dyDescent="0.25">
      <c r="B27" s="25"/>
      <c r="C27" s="25"/>
      <c r="D27" s="25"/>
      <c r="E27" s="25"/>
      <c r="F27" s="25"/>
      <c r="G27" s="25"/>
      <c r="H27" s="25"/>
      <c r="I27" s="33"/>
      <c r="J27" s="22"/>
    </row>
    <row r="1048576" spans="10:10" ht="22.5" customHeight="1" x14ac:dyDescent="0.25">
      <c r="J1048576" s="13"/>
    </row>
  </sheetData>
  <mergeCells count="6">
    <mergeCell ref="C13:I13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48576"/>
  <sheetViews>
    <sheetView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5" width="20.140625" style="1" customWidth="1"/>
    <col min="6" max="6" width="13.7109375" style="1" customWidth="1"/>
    <col min="7" max="7" width="20.140625" style="1" hidden="1" customWidth="1"/>
    <col min="8" max="8" width="20.140625" style="1" customWidth="1"/>
    <col min="9" max="9" width="20.140625" style="1" hidden="1" customWidth="1"/>
    <col min="10" max="10" width="20.140625" style="1" customWidth="1"/>
    <col min="11" max="11" width="20.140625" style="1" hidden="1" customWidth="1"/>
    <col min="12" max="12" width="20.140625" style="1" customWidth="1"/>
    <col min="13" max="13" width="20.140625" style="1" hidden="1" customWidth="1"/>
    <col min="14" max="14" width="20.140625" style="1" customWidth="1"/>
    <col min="15" max="15" width="20.140625" style="1" hidden="1" customWidth="1"/>
    <col min="16" max="16" width="20.140625" style="1" customWidth="1"/>
    <col min="17" max="17" width="20.140625" style="1" hidden="1" customWidth="1"/>
    <col min="18" max="18" width="20.140625" style="1" customWidth="1"/>
    <col min="19" max="19" width="20.140625" style="1" hidden="1" customWidth="1"/>
    <col min="20" max="20" width="20.140625" style="1" customWidth="1"/>
    <col min="21" max="21" width="20.140625" style="1" hidden="1" customWidth="1"/>
    <col min="22" max="22" width="20.140625" style="1" customWidth="1"/>
    <col min="23" max="23" width="13.85546875" style="35" bestFit="1" customWidth="1"/>
    <col min="24" max="16384" width="9.140625" style="1"/>
  </cols>
  <sheetData>
    <row r="2" spans="1:23" ht="42.75" customHeight="1" x14ac:dyDescent="0.2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3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/>
      <c r="H3" s="18" t="s">
        <v>6</v>
      </c>
      <c r="I3" s="18"/>
      <c r="J3" s="18" t="s">
        <v>7</v>
      </c>
      <c r="K3" s="18"/>
      <c r="L3" s="18" t="s">
        <v>8</v>
      </c>
      <c r="M3" s="18"/>
      <c r="N3" s="18" t="s">
        <v>9</v>
      </c>
      <c r="O3" s="18"/>
      <c r="P3" s="18" t="s">
        <v>10</v>
      </c>
      <c r="Q3" s="18"/>
      <c r="R3" s="18" t="s">
        <v>11</v>
      </c>
      <c r="S3" s="18"/>
      <c r="T3" s="18" t="s">
        <v>12</v>
      </c>
      <c r="U3" s="18"/>
      <c r="V3" s="18" t="s">
        <v>13</v>
      </c>
      <c r="W3" s="36"/>
    </row>
    <row r="4" spans="1:23" ht="22.5" customHeight="1" x14ac:dyDescent="0.25">
      <c r="A4" s="53" t="s">
        <v>34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3" ht="22.5" customHeight="1" x14ac:dyDescent="0.25">
      <c r="A5" s="54"/>
      <c r="B5" s="19" t="s">
        <v>14</v>
      </c>
      <c r="C5" s="20">
        <v>91708544.667999998</v>
      </c>
      <c r="D5" s="20">
        <v>88956084.542999998</v>
      </c>
      <c r="E5" s="20">
        <v>98796511.721000001</v>
      </c>
      <c r="F5" s="20">
        <v>91387202.664000005</v>
      </c>
      <c r="G5" s="20">
        <v>1.0033206887219193</v>
      </c>
      <c r="H5" s="20">
        <v>86563258</v>
      </c>
      <c r="I5" s="20">
        <v>0.91689814087351429</v>
      </c>
      <c r="J5" s="20">
        <v>81957838</v>
      </c>
      <c r="K5" s="20">
        <v>1.0297194279879396</v>
      </c>
      <c r="L5" s="20">
        <v>85382604</v>
      </c>
      <c r="M5" s="20">
        <v>1.0251177981829407</v>
      </c>
      <c r="N5" s="20">
        <v>89950635</v>
      </c>
      <c r="O5" s="20">
        <v>1.0244509189049074</v>
      </c>
      <c r="P5" s="20">
        <v>89197763</v>
      </c>
      <c r="Q5" s="20">
        <v>1.0546539113783706</v>
      </c>
      <c r="R5" s="20">
        <f>40813691+56757692</f>
        <v>97571383</v>
      </c>
      <c r="S5" s="20">
        <v>1.0251675754487604</v>
      </c>
      <c r="T5" s="20">
        <v>100390907</v>
      </c>
      <c r="U5" s="20">
        <v>0.99162359355951879</v>
      </c>
      <c r="V5" s="20">
        <v>105752225</v>
      </c>
      <c r="W5" s="35">
        <f>'2021'!C6/'2020'!V5</f>
        <v>0.97281538048017424</v>
      </c>
    </row>
    <row r="6" spans="1:23" ht="22.5" customHeight="1" x14ac:dyDescent="0.25">
      <c r="A6" s="54"/>
      <c r="B6" s="19" t="s">
        <v>15</v>
      </c>
      <c r="C6" s="20">
        <v>7021634</v>
      </c>
      <c r="D6" s="20">
        <v>7220905</v>
      </c>
      <c r="E6" s="20">
        <v>7415791</v>
      </c>
      <c r="F6" s="20">
        <v>5736997</v>
      </c>
      <c r="G6" s="20">
        <v>1.0203126325402254</v>
      </c>
      <c r="H6" s="20">
        <v>5674804</v>
      </c>
      <c r="I6" s="20">
        <v>0.96864865804128897</v>
      </c>
      <c r="J6" s="20">
        <v>5770710</v>
      </c>
      <c r="K6" s="20">
        <v>0.96183677124053224</v>
      </c>
      <c r="L6" s="20">
        <v>6637108</v>
      </c>
      <c r="M6" s="20">
        <v>1.086519764604269</v>
      </c>
      <c r="N6" s="20">
        <v>6042651</v>
      </c>
      <c r="O6" s="20">
        <v>0.9105411439294312</v>
      </c>
      <c r="P6" s="20">
        <v>6254357</v>
      </c>
      <c r="Q6" s="20">
        <v>1.2452393326826185</v>
      </c>
      <c r="R6" s="20">
        <f>6186424+417208</f>
        <v>6603632</v>
      </c>
      <c r="S6" s="20">
        <v>1.0077807442697306</v>
      </c>
      <c r="T6" s="20">
        <v>7194008</v>
      </c>
      <c r="U6" s="20">
        <v>0.94373627517801073</v>
      </c>
      <c r="V6" s="20">
        <v>7788576</v>
      </c>
      <c r="W6" s="35">
        <f>'2021'!C7/'2020'!V6</f>
        <v>0.99433773259707547</v>
      </c>
    </row>
    <row r="7" spans="1:23" ht="22.5" customHeight="1" x14ac:dyDescent="0.25">
      <c r="A7" s="54"/>
      <c r="B7" s="19" t="s">
        <v>16</v>
      </c>
      <c r="C7" s="20">
        <v>500669</v>
      </c>
      <c r="D7" s="20">
        <v>478807</v>
      </c>
      <c r="E7" s="20">
        <v>504028</v>
      </c>
      <c r="F7" s="20">
        <v>451212</v>
      </c>
      <c r="G7" s="20">
        <v>0.35276026847491176</v>
      </c>
      <c r="H7" s="20">
        <v>142210</v>
      </c>
      <c r="I7" s="20">
        <v>0.38207589485960347</v>
      </c>
      <c r="J7" s="20">
        <v>161082</v>
      </c>
      <c r="K7" s="20">
        <v>3.0483254711946892</v>
      </c>
      <c r="L7" s="20">
        <v>170583</v>
      </c>
      <c r="M7" s="20">
        <v>1.5643192751258657</v>
      </c>
      <c r="N7" s="20">
        <v>95371</v>
      </c>
      <c r="O7" s="20">
        <v>1.199259630621033</v>
      </c>
      <c r="P7" s="20">
        <v>247282</v>
      </c>
      <c r="Q7" s="20">
        <v>1.3590514972920718</v>
      </c>
      <c r="R7" s="20">
        <v>338326</v>
      </c>
      <c r="S7" s="20">
        <v>1.2233729638875843</v>
      </c>
      <c r="T7" s="20">
        <v>477580</v>
      </c>
      <c r="U7" s="20">
        <v>1.1677195440075789</v>
      </c>
      <c r="V7" s="20">
        <v>504143</v>
      </c>
      <c r="W7" s="35">
        <f>'2021'!C8/'2020'!V7</f>
        <v>0.95535988796829474</v>
      </c>
    </row>
    <row r="8" spans="1:23" ht="22.5" customHeight="1" x14ac:dyDescent="0.25">
      <c r="A8" s="54"/>
      <c r="B8" s="19" t="s">
        <v>17</v>
      </c>
      <c r="C8" s="20">
        <v>111673</v>
      </c>
      <c r="D8" s="20">
        <v>114570</v>
      </c>
      <c r="E8" s="20">
        <v>90263</v>
      </c>
      <c r="F8" s="20">
        <v>78447</v>
      </c>
      <c r="G8" s="20">
        <v>0.57446752075541763</v>
      </c>
      <c r="H8" s="20">
        <v>59811</v>
      </c>
      <c r="I8" s="20">
        <v>0.63178733031674206</v>
      </c>
      <c r="J8" s="20">
        <v>44657</v>
      </c>
      <c r="K8" s="20">
        <v>4.3605503078581478</v>
      </c>
      <c r="L8" s="20">
        <v>37609</v>
      </c>
      <c r="M8" s="20">
        <v>0.29074103558948489</v>
      </c>
      <c r="N8" s="20">
        <v>51255</v>
      </c>
      <c r="O8" s="20">
        <v>1.4456549935149157</v>
      </c>
      <c r="P8" s="20">
        <v>50859</v>
      </c>
      <c r="Q8" s="20">
        <v>1.8581952668620532</v>
      </c>
      <c r="R8" s="20">
        <v>63221</v>
      </c>
      <c r="S8" s="20">
        <v>0.97847674125416439</v>
      </c>
      <c r="T8" s="20">
        <v>72406</v>
      </c>
      <c r="U8" s="20">
        <v>0.57386603505655431</v>
      </c>
      <c r="V8" s="20">
        <v>74412</v>
      </c>
      <c r="W8" s="35">
        <f>'2021'!C9/'2020'!V8</f>
        <v>0.82764876632801165</v>
      </c>
    </row>
    <row r="9" spans="1:23" ht="22.5" customHeight="1" x14ac:dyDescent="0.25">
      <c r="A9" s="54"/>
      <c r="B9" s="55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</row>
    <row r="10" spans="1:23" ht="22.5" customHeight="1" x14ac:dyDescent="0.25">
      <c r="A10" s="54"/>
      <c r="B10" s="20" t="s">
        <v>29</v>
      </c>
      <c r="C10" s="20">
        <v>3704</v>
      </c>
      <c r="D10" s="20">
        <v>5727</v>
      </c>
      <c r="E10" s="20">
        <v>5011</v>
      </c>
      <c r="F10" s="20">
        <v>970</v>
      </c>
      <c r="G10" s="20">
        <v>0.57463734206832007</v>
      </c>
      <c r="H10" s="20">
        <v>752</v>
      </c>
      <c r="I10" s="20">
        <v>2.1636807817589578</v>
      </c>
      <c r="J10" s="20">
        <v>814</v>
      </c>
      <c r="K10" s="20">
        <v>0.8394806172374859</v>
      </c>
      <c r="L10" s="20">
        <v>408</v>
      </c>
      <c r="M10" s="20">
        <v>1.023537323470074</v>
      </c>
      <c r="N10" s="20">
        <v>985</v>
      </c>
      <c r="O10" s="20">
        <v>0.93429697766097242</v>
      </c>
      <c r="P10" s="20">
        <v>971</v>
      </c>
      <c r="Q10" s="20">
        <v>0.97398030942334735</v>
      </c>
      <c r="R10" s="20">
        <v>597</v>
      </c>
      <c r="S10" s="20">
        <v>1.0486161251504211</v>
      </c>
      <c r="T10" s="20">
        <v>784</v>
      </c>
      <c r="U10" s="20">
        <v>0.96763828322240075</v>
      </c>
      <c r="V10" s="20">
        <v>542</v>
      </c>
      <c r="W10" s="35">
        <f>'2021'!C11/'2020'!V10</f>
        <v>1.7435424354243543</v>
      </c>
    </row>
    <row r="11" spans="1:23" ht="22.5" customHeight="1" x14ac:dyDescent="0.25">
      <c r="A11" s="49" t="s">
        <v>18</v>
      </c>
      <c r="B11" s="50"/>
      <c r="C11" s="10">
        <f>SUM(C5:C8,C10)</f>
        <v>99346224.667999998</v>
      </c>
      <c r="D11" s="10">
        <f t="shared" ref="D11:V11" si="0">SUM(D5:D8,D10)</f>
        <v>96776093.542999998</v>
      </c>
      <c r="E11" s="10">
        <f t="shared" si="0"/>
        <v>106811604.721</v>
      </c>
      <c r="F11" s="10">
        <f>SUM(F5:F8,F10)</f>
        <v>97654828.664000005</v>
      </c>
      <c r="G11" s="10"/>
      <c r="H11" s="10">
        <f>SUM(H5:H8,H10)</f>
        <v>92440835</v>
      </c>
      <c r="I11" s="10"/>
      <c r="J11" s="10">
        <f>SUM(J5:J8,J10)</f>
        <v>87935101</v>
      </c>
      <c r="K11" s="10"/>
      <c r="L11" s="10">
        <f>SUM(L5:L8,L10)</f>
        <v>92228312</v>
      </c>
      <c r="M11" s="10"/>
      <c r="N11" s="10">
        <f>SUM(N5:N8,N10)</f>
        <v>96140897</v>
      </c>
      <c r="O11" s="10"/>
      <c r="P11" s="10">
        <f t="shared" si="0"/>
        <v>95751232</v>
      </c>
      <c r="Q11" s="10"/>
      <c r="R11" s="10">
        <f t="shared" si="0"/>
        <v>104577159</v>
      </c>
      <c r="S11" s="10"/>
      <c r="T11" s="10">
        <f t="shared" si="0"/>
        <v>108135685</v>
      </c>
      <c r="U11" s="10"/>
      <c r="V11" s="10">
        <f t="shared" si="0"/>
        <v>114119898</v>
      </c>
    </row>
    <row r="13" spans="1:23" ht="40.5" customHeight="1" x14ac:dyDescent="0.25">
      <c r="B13" s="2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7"/>
      <c r="R13" s="21"/>
      <c r="S13" s="21"/>
      <c r="V13" s="28"/>
    </row>
    <row r="14" spans="1:23" ht="40.5" customHeight="1" x14ac:dyDescent="0.3">
      <c r="B14" s="25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2"/>
      <c r="O14" s="32"/>
      <c r="P14" s="13"/>
      <c r="Q14" s="13"/>
      <c r="R14" s="21"/>
      <c r="S14" s="21"/>
      <c r="V14" s="28"/>
    </row>
    <row r="15" spans="1:23" ht="22.5" customHeight="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3"/>
      <c r="M15" s="33"/>
      <c r="N15" s="13"/>
      <c r="O15" s="13"/>
      <c r="P15" s="13"/>
      <c r="Q15" s="13"/>
      <c r="R15" s="21"/>
      <c r="S15" s="21"/>
      <c r="T15" s="29"/>
      <c r="U15" s="29"/>
      <c r="V15" s="28"/>
    </row>
    <row r="16" spans="1:23" ht="22.5" customHeight="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P16" s="13"/>
      <c r="Q16" s="13"/>
      <c r="R16" s="21"/>
      <c r="S16" s="21"/>
      <c r="T16" s="29"/>
      <c r="U16" s="29"/>
    </row>
    <row r="17" spans="2:22" ht="22.5" customHeight="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R17" s="21"/>
      <c r="S17" s="21"/>
      <c r="T17" s="29"/>
      <c r="U17" s="29"/>
    </row>
    <row r="18" spans="2:22" ht="22.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33"/>
      <c r="M18" s="33"/>
      <c r="N18" s="13"/>
      <c r="O18" s="13"/>
      <c r="P18" s="13"/>
      <c r="Q18" s="13"/>
      <c r="R18" s="21"/>
      <c r="S18" s="21"/>
      <c r="T18" s="29"/>
      <c r="U18" s="29"/>
    </row>
    <row r="19" spans="2:22" ht="22.5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33"/>
      <c r="M19" s="33"/>
      <c r="N19" s="21"/>
      <c r="O19" s="21"/>
      <c r="R19" s="21"/>
      <c r="S19" s="21"/>
      <c r="V19" s="28"/>
    </row>
    <row r="20" spans="2:22" ht="22.5" customHeight="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33"/>
      <c r="M20" s="33"/>
      <c r="N20" s="21"/>
      <c r="O20" s="21"/>
      <c r="R20" s="21"/>
      <c r="S20" s="21"/>
    </row>
    <row r="21" spans="2:22" ht="22.5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33"/>
      <c r="M21" s="33"/>
      <c r="N21" s="21"/>
      <c r="O21" s="21"/>
      <c r="R21" s="21"/>
      <c r="S21" s="21"/>
    </row>
    <row r="22" spans="2:22" ht="22.5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3"/>
      <c r="M22" s="33"/>
      <c r="N22" s="21"/>
      <c r="O22" s="21"/>
      <c r="R22" s="21"/>
      <c r="S22" s="21"/>
    </row>
    <row r="23" spans="2:22" ht="22.5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33"/>
      <c r="M23" s="33"/>
      <c r="N23" s="21"/>
      <c r="O23" s="21"/>
      <c r="R23" s="21"/>
      <c r="S23" s="21"/>
    </row>
    <row r="24" spans="2:22" ht="22.5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3"/>
      <c r="M24" s="33"/>
      <c r="N24" s="21"/>
      <c r="O24" s="21"/>
      <c r="R24" s="21"/>
      <c r="S24" s="21"/>
    </row>
    <row r="25" spans="2:22" ht="22.5" customHeight="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3"/>
      <c r="M25" s="33"/>
      <c r="N25" s="21"/>
      <c r="O25" s="21"/>
      <c r="R25" s="22"/>
      <c r="S25" s="22"/>
    </row>
    <row r="26" spans="2:22" ht="22.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33"/>
      <c r="M26" s="33"/>
      <c r="N26" s="21"/>
      <c r="O26" s="21"/>
    </row>
    <row r="27" spans="2:22" ht="22.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3"/>
      <c r="M27" s="33"/>
      <c r="N27" s="22"/>
      <c r="O27" s="22"/>
    </row>
    <row r="1048576" spans="14:15" ht="22.5" customHeight="1" x14ac:dyDescent="0.25">
      <c r="N1048576" s="13"/>
      <c r="O1048576" s="13"/>
    </row>
  </sheetData>
  <mergeCells count="6">
    <mergeCell ref="C13:L13"/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zoomScale="70" zoomScaleNormal="70" workbookViewId="0">
      <selection activeCell="AH11" sqref="AH11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20.140625" style="1" customWidth="1"/>
    <col min="4" max="4" width="20.140625" style="1" hidden="1" customWidth="1"/>
    <col min="5" max="5" width="20.140625" style="1" customWidth="1"/>
    <col min="6" max="6" width="20.140625" style="1" hidden="1" customWidth="1"/>
    <col min="7" max="7" width="20.140625" style="1" customWidth="1"/>
    <col min="8" max="8" width="20.140625" style="1" hidden="1" customWidth="1"/>
    <col min="9" max="9" width="13.7109375" style="1" customWidth="1"/>
    <col min="10" max="11" width="20.140625" style="1" hidden="1" customWidth="1"/>
    <col min="12" max="12" width="20.140625" style="1" customWidth="1"/>
    <col min="13" max="14" width="20.140625" style="1" hidden="1" customWidth="1"/>
    <col min="15" max="15" width="20.140625" style="1" customWidth="1"/>
    <col min="16" max="17" width="20.140625" style="1" hidden="1" customWidth="1"/>
    <col min="18" max="18" width="20.140625" style="1" customWidth="1"/>
    <col min="19" max="20" width="20.140625" style="1" hidden="1" customWidth="1"/>
    <col min="21" max="21" width="20.140625" style="1" customWidth="1"/>
    <col min="22" max="23" width="20.140625" style="1" hidden="1" customWidth="1"/>
    <col min="24" max="24" width="20.140625" style="1" customWidth="1"/>
    <col min="25" max="26" width="20.140625" style="1" hidden="1" customWidth="1"/>
    <col min="27" max="27" width="20.140625" style="1" customWidth="1"/>
    <col min="28" max="29" width="20.140625" style="1" hidden="1" customWidth="1"/>
    <col min="30" max="30" width="20.140625" style="1" customWidth="1"/>
    <col min="31" max="32" width="20.140625" style="1" hidden="1" customWidth="1"/>
    <col min="33" max="33" width="20.140625" style="1" customWidth="1"/>
    <col min="34" max="34" width="9.140625" style="35"/>
    <col min="35" max="16384" width="9.140625" style="1"/>
  </cols>
  <sheetData>
    <row r="2" spans="1:34" ht="42.75" customHeight="1" x14ac:dyDescent="0.2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4" s="2" customFormat="1" ht="33" customHeight="1" x14ac:dyDescent="0.25">
      <c r="A3" s="16" t="s">
        <v>0</v>
      </c>
      <c r="B3" s="17" t="s">
        <v>1</v>
      </c>
      <c r="C3" s="18" t="s">
        <v>2</v>
      </c>
      <c r="D3" s="18"/>
      <c r="E3" s="18" t="s">
        <v>3</v>
      </c>
      <c r="F3" s="18"/>
      <c r="G3" s="18" t="s">
        <v>4</v>
      </c>
      <c r="H3" s="18"/>
      <c r="I3" s="18" t="s">
        <v>5</v>
      </c>
      <c r="J3" s="18"/>
      <c r="K3" s="18"/>
      <c r="L3" s="18" t="s">
        <v>6</v>
      </c>
      <c r="M3" s="18"/>
      <c r="N3" s="18"/>
      <c r="O3" s="18" t="s">
        <v>7</v>
      </c>
      <c r="P3" s="18"/>
      <c r="Q3" s="18"/>
      <c r="R3" s="18" t="s">
        <v>8</v>
      </c>
      <c r="S3" s="18"/>
      <c r="T3" s="18"/>
      <c r="U3" s="18" t="s">
        <v>9</v>
      </c>
      <c r="V3" s="18"/>
      <c r="W3" s="18"/>
      <c r="X3" s="18" t="s">
        <v>10</v>
      </c>
      <c r="Y3" s="18"/>
      <c r="Z3" s="18"/>
      <c r="AA3" s="18" t="s">
        <v>11</v>
      </c>
      <c r="AB3" s="18"/>
      <c r="AC3" s="18"/>
      <c r="AD3" s="18" t="s">
        <v>12</v>
      </c>
      <c r="AE3" s="18"/>
      <c r="AF3" s="18"/>
      <c r="AG3" s="18" t="s">
        <v>13</v>
      </c>
      <c r="AH3" s="36"/>
    </row>
    <row r="4" spans="1:34" ht="22.5" customHeight="1" x14ac:dyDescent="0.25">
      <c r="A4" s="53" t="s">
        <v>34</v>
      </c>
      <c r="B4" s="55" t="s">
        <v>19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</row>
    <row r="5" spans="1:34" ht="22.5" customHeight="1" x14ac:dyDescent="0.25">
      <c r="A5" s="54"/>
      <c r="B5" s="20" t="s">
        <v>21</v>
      </c>
      <c r="C5" s="20"/>
      <c r="D5" s="20"/>
      <c r="E5" s="20">
        <v>845443</v>
      </c>
      <c r="F5" s="20"/>
      <c r="G5" s="20">
        <v>600849</v>
      </c>
      <c r="H5" s="20">
        <f>G5/E5</f>
        <v>0.71069131804273022</v>
      </c>
      <c r="I5" s="20">
        <v>481670</v>
      </c>
      <c r="J5" s="20"/>
      <c r="K5" s="20">
        <f>I5/G5</f>
        <v>0.80164899999833572</v>
      </c>
      <c r="L5" s="20">
        <v>395139</v>
      </c>
      <c r="M5" s="20"/>
      <c r="N5" s="20"/>
      <c r="O5" s="20">
        <v>568229</v>
      </c>
      <c r="P5" s="20"/>
      <c r="Q5" s="20">
        <f>O5/L5</f>
        <v>1.4380483829740927</v>
      </c>
      <c r="R5" s="20">
        <v>425387</v>
      </c>
      <c r="S5" s="20"/>
      <c r="T5" s="20">
        <f>R5/O5</f>
        <v>0.74861895468200323</v>
      </c>
      <c r="U5" s="20">
        <v>577877</v>
      </c>
      <c r="V5" s="20"/>
      <c r="W5" s="20">
        <f>U5/R5</f>
        <v>1.3584735781770483</v>
      </c>
      <c r="X5" s="20">
        <v>518308</v>
      </c>
      <c r="Y5" s="20"/>
      <c r="Z5" s="20">
        <f>X5/U5</f>
        <v>0.89691751012758769</v>
      </c>
      <c r="AA5" s="20">
        <v>511975</v>
      </c>
      <c r="AB5" s="20"/>
      <c r="AC5" s="20">
        <f>AA5/X5</f>
        <v>0.98778139638979134</v>
      </c>
      <c r="AD5" s="20">
        <v>657442</v>
      </c>
      <c r="AE5" s="20"/>
      <c r="AF5" s="20">
        <f>AD5/AA5</f>
        <v>1.2841291078665951</v>
      </c>
      <c r="AG5" s="20">
        <v>598005</v>
      </c>
      <c r="AH5" s="35">
        <f>'2022'!D5/'2021'!AG5</f>
        <v>1.1582729241394303</v>
      </c>
    </row>
    <row r="6" spans="1:34" ht="22.5" customHeight="1" x14ac:dyDescent="0.25">
      <c r="A6" s="54"/>
      <c r="B6" s="19" t="s">
        <v>14</v>
      </c>
      <c r="C6" s="20">
        <v>102877391</v>
      </c>
      <c r="D6" s="20">
        <v>0.9699868737971542</v>
      </c>
      <c r="E6" s="20">
        <v>95019769</v>
      </c>
      <c r="F6" s="20">
        <v>1.1106211815476579</v>
      </c>
      <c r="G6" s="20">
        <v>104580044</v>
      </c>
      <c r="H6" s="20">
        <v>0.92500434551855648</v>
      </c>
      <c r="I6" s="20">
        <v>96478240</v>
      </c>
      <c r="J6" s="20"/>
      <c r="K6" s="20">
        <v>0.94721422121064336</v>
      </c>
      <c r="L6" s="20">
        <v>95945306</v>
      </c>
      <c r="M6" s="20"/>
      <c r="N6" s="20">
        <v>0.94679705793883129</v>
      </c>
      <c r="O6" s="20">
        <v>89583494</v>
      </c>
      <c r="P6" s="20"/>
      <c r="Q6" s="20">
        <v>1.0417869246380072</v>
      </c>
      <c r="R6" s="20">
        <v>94155232</v>
      </c>
      <c r="S6" s="20"/>
      <c r="T6" s="20">
        <v>1.0535007224656676</v>
      </c>
      <c r="U6" s="20">
        <v>92689715</v>
      </c>
      <c r="V6" s="20"/>
      <c r="W6" s="20">
        <v>0.99163016470089405</v>
      </c>
      <c r="X6" s="20">
        <v>88209252</v>
      </c>
      <c r="Y6" s="20"/>
      <c r="Z6" s="20">
        <v>1.0938770179696098</v>
      </c>
      <c r="AA6" s="20">
        <v>95971387</v>
      </c>
      <c r="AB6" s="20"/>
      <c r="AC6" s="20">
        <v>1.0288970383867573</v>
      </c>
      <c r="AD6" s="20">
        <v>97418821</v>
      </c>
      <c r="AE6" s="20"/>
      <c r="AF6" s="20">
        <v>1.0534044183902034</v>
      </c>
      <c r="AG6" s="20">
        <v>102193876</v>
      </c>
      <c r="AH6" s="35">
        <f>'2022'!D6/'2021'!AG6</f>
        <v>1.0028644964987921</v>
      </c>
    </row>
    <row r="7" spans="1:34" ht="22.5" customHeight="1" x14ac:dyDescent="0.25">
      <c r="A7" s="54"/>
      <c r="B7" s="19" t="s">
        <v>15</v>
      </c>
      <c r="C7" s="20">
        <v>7744475</v>
      </c>
      <c r="D7" s="20">
        <v>1.0283795766056734</v>
      </c>
      <c r="E7" s="20">
        <v>7000846</v>
      </c>
      <c r="F7" s="20">
        <v>1.0269891377881304</v>
      </c>
      <c r="G7" s="20">
        <v>7328892</v>
      </c>
      <c r="H7" s="20">
        <v>0.77361902459225185</v>
      </c>
      <c r="I7" s="20">
        <v>6528180</v>
      </c>
      <c r="J7" s="20"/>
      <c r="K7" s="20">
        <v>0.98915931104722554</v>
      </c>
      <c r="L7" s="20">
        <v>6753320</v>
      </c>
      <c r="M7" s="20"/>
      <c r="N7" s="20">
        <v>1.0169003193766692</v>
      </c>
      <c r="O7" s="20">
        <v>6709613</v>
      </c>
      <c r="P7" s="20"/>
      <c r="Q7" s="20">
        <v>1.1501371581659796</v>
      </c>
      <c r="R7" s="20">
        <v>5397457</v>
      </c>
      <c r="S7" s="20"/>
      <c r="T7" s="20">
        <v>0.9104343337489762</v>
      </c>
      <c r="U7" s="20">
        <v>5751459</v>
      </c>
      <c r="V7" s="20"/>
      <c r="W7" s="20">
        <v>1.035035285009841</v>
      </c>
      <c r="X7" s="20">
        <v>5845869</v>
      </c>
      <c r="Y7" s="20"/>
      <c r="Z7" s="20">
        <v>1.0558450692852999</v>
      </c>
      <c r="AA7" s="20">
        <v>6838333</v>
      </c>
      <c r="AB7" s="20"/>
      <c r="AC7" s="20">
        <v>1.0894017110583993</v>
      </c>
      <c r="AD7" s="20">
        <v>6879303</v>
      </c>
      <c r="AE7" s="20"/>
      <c r="AF7" s="20">
        <v>1.0826476701165748</v>
      </c>
      <c r="AG7" s="20">
        <v>7731653</v>
      </c>
      <c r="AH7" s="35">
        <f>'2022'!D7/'2021'!AG7</f>
        <v>1.011176005958881</v>
      </c>
    </row>
    <row r="8" spans="1:34" ht="22.5" customHeight="1" x14ac:dyDescent="0.25">
      <c r="A8" s="54"/>
      <c r="B8" s="19" t="s">
        <v>16</v>
      </c>
      <c r="C8" s="20">
        <v>481638</v>
      </c>
      <c r="D8" s="20">
        <v>0.95633442453996553</v>
      </c>
      <c r="E8" s="20">
        <v>434067</v>
      </c>
      <c r="F8" s="20">
        <v>1.0526746684989985</v>
      </c>
      <c r="G8" s="20">
        <v>558668</v>
      </c>
      <c r="H8" s="20">
        <v>0.89521217075241855</v>
      </c>
      <c r="I8" s="20">
        <v>282329</v>
      </c>
      <c r="J8" s="20"/>
      <c r="K8" s="20">
        <v>0.31517335531856422</v>
      </c>
      <c r="L8" s="20">
        <v>190497</v>
      </c>
      <c r="M8" s="20"/>
      <c r="N8" s="20">
        <v>1.1327051543492019</v>
      </c>
      <c r="O8" s="20">
        <v>9037</v>
      </c>
      <c r="P8" s="20"/>
      <c r="Q8" s="20">
        <v>1.0589823816441315</v>
      </c>
      <c r="R8" s="20">
        <v>112084</v>
      </c>
      <c r="S8" s="20"/>
      <c r="T8" s="20">
        <v>0.55908853754477295</v>
      </c>
      <c r="U8" s="20">
        <v>119932</v>
      </c>
      <c r="V8" s="20"/>
      <c r="W8" s="20">
        <v>2.5928426880288558</v>
      </c>
      <c r="X8" s="20">
        <v>157184</v>
      </c>
      <c r="Y8" s="20"/>
      <c r="Z8" s="20">
        <v>1.3681788403523103</v>
      </c>
      <c r="AA8" s="20">
        <v>260398</v>
      </c>
      <c r="AB8" s="20"/>
      <c r="AC8" s="20">
        <v>1.4115970986563255</v>
      </c>
      <c r="AD8" s="20">
        <v>386210</v>
      </c>
      <c r="AE8" s="20"/>
      <c r="AF8" s="20">
        <v>1.055620000837556</v>
      </c>
      <c r="AG8" s="20">
        <v>361097</v>
      </c>
      <c r="AH8" s="35">
        <f>'2022'!D8/'2021'!AG8</f>
        <v>1.6608418236651095</v>
      </c>
    </row>
    <row r="9" spans="1:34" ht="22.5" customHeight="1" x14ac:dyDescent="0.25">
      <c r="A9" s="54"/>
      <c r="B9" s="19" t="s">
        <v>17</v>
      </c>
      <c r="C9" s="20">
        <v>61587</v>
      </c>
      <c r="D9" s="20">
        <v>1.0259418122554242</v>
      </c>
      <c r="E9" s="20">
        <v>61290</v>
      </c>
      <c r="F9" s="20">
        <v>0.78784149428297112</v>
      </c>
      <c r="G9" s="20">
        <v>48909</v>
      </c>
      <c r="H9" s="20">
        <v>0.86909364856031823</v>
      </c>
      <c r="I9" s="20">
        <v>44060</v>
      </c>
      <c r="J9" s="20"/>
      <c r="K9" s="20">
        <v>0.7624383341619182</v>
      </c>
      <c r="L9" s="20">
        <v>31818</v>
      </c>
      <c r="M9" s="20"/>
      <c r="N9" s="20">
        <v>0.74663523432144585</v>
      </c>
      <c r="O9" s="20">
        <v>27530</v>
      </c>
      <c r="P9" s="20"/>
      <c r="Q9" s="20">
        <v>0.84217479902366932</v>
      </c>
      <c r="R9" s="20">
        <v>16430</v>
      </c>
      <c r="S9" s="20"/>
      <c r="T9" s="20">
        <v>1.3628386822303171</v>
      </c>
      <c r="U9" s="20">
        <v>14832</v>
      </c>
      <c r="V9" s="20"/>
      <c r="W9" s="20">
        <v>0.99227392449517116</v>
      </c>
      <c r="X9" s="20">
        <v>17074</v>
      </c>
      <c r="Y9" s="20"/>
      <c r="Z9" s="20">
        <v>1.2430641577695196</v>
      </c>
      <c r="AA9" s="20">
        <v>20240</v>
      </c>
      <c r="AB9" s="20"/>
      <c r="AC9" s="20">
        <v>1.1452840037329368</v>
      </c>
      <c r="AD9" s="20">
        <v>19378</v>
      </c>
      <c r="AE9" s="20"/>
      <c r="AF9" s="20">
        <v>1.0277048863353866</v>
      </c>
      <c r="AG9" s="20">
        <v>23825</v>
      </c>
      <c r="AH9" s="35">
        <f>'2022'!D9/'2021'!AG9</f>
        <v>1.0473871983210914</v>
      </c>
    </row>
    <row r="10" spans="1:34" ht="22.5" customHeight="1" x14ac:dyDescent="0.25">
      <c r="A10" s="54"/>
      <c r="B10" s="55" t="s">
        <v>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</row>
    <row r="11" spans="1:34" ht="22.5" customHeight="1" x14ac:dyDescent="0.25">
      <c r="A11" s="54"/>
      <c r="B11" s="20" t="s">
        <v>29</v>
      </c>
      <c r="C11" s="20">
        <v>945</v>
      </c>
      <c r="D11" s="20">
        <v>1.5461663066954643</v>
      </c>
      <c r="E11" s="20">
        <v>997</v>
      </c>
      <c r="F11" s="20">
        <v>0.87497817356382046</v>
      </c>
      <c r="G11" s="20">
        <v>751</v>
      </c>
      <c r="H11" s="20">
        <v>0.19357413689882258</v>
      </c>
      <c r="I11" s="20">
        <v>2151</v>
      </c>
      <c r="J11" s="20"/>
      <c r="K11" s="20">
        <v>0.77525773195876291</v>
      </c>
      <c r="L11" s="20">
        <v>3467</v>
      </c>
      <c r="M11" s="20"/>
      <c r="N11" s="20">
        <v>1.0824468085106382</v>
      </c>
      <c r="O11" s="20">
        <v>4751</v>
      </c>
      <c r="P11" s="20"/>
      <c r="Q11" s="20">
        <v>0.50122850122850127</v>
      </c>
      <c r="R11" s="20">
        <v>820</v>
      </c>
      <c r="S11" s="20"/>
      <c r="T11" s="20">
        <v>2.4142156862745097</v>
      </c>
      <c r="U11" s="20">
        <v>780</v>
      </c>
      <c r="V11" s="20"/>
      <c r="W11" s="20">
        <v>0.98578680203045688</v>
      </c>
      <c r="X11" s="20">
        <v>938</v>
      </c>
      <c r="Y11" s="20"/>
      <c r="Z11" s="20">
        <v>0.61483007209062823</v>
      </c>
      <c r="AA11" s="20">
        <v>984</v>
      </c>
      <c r="AB11" s="20"/>
      <c r="AC11" s="20">
        <v>1.3132328308207706</v>
      </c>
      <c r="AD11" s="20">
        <v>903</v>
      </c>
      <c r="AE11" s="20"/>
      <c r="AF11" s="20">
        <v>0.69132653061224492</v>
      </c>
      <c r="AG11" s="20">
        <v>1224</v>
      </c>
      <c r="AH11" s="35">
        <f>'2022'!D11/'2021'!AG11</f>
        <v>0.87091503267973858</v>
      </c>
    </row>
    <row r="12" spans="1:34" ht="22.5" customHeight="1" x14ac:dyDescent="0.25">
      <c r="A12" s="49" t="s">
        <v>18</v>
      </c>
      <c r="B12" s="50"/>
      <c r="C12" s="10">
        <f>SUM(C6:C9,C11)</f>
        <v>111166036</v>
      </c>
      <c r="D12" s="10"/>
      <c r="E12" s="10">
        <f>SUM(E5:E9,E11)</f>
        <v>103362412</v>
      </c>
      <c r="F12" s="10"/>
      <c r="G12" s="10">
        <f>SUM(G5:H9,G11)</f>
        <v>113118117.17362051</v>
      </c>
      <c r="H12" s="10"/>
      <c r="I12" s="10">
        <f>SUM(I5:K9,I11)</f>
        <v>103816633.81563422</v>
      </c>
      <c r="J12" s="10"/>
      <c r="K12" s="10"/>
      <c r="L12" s="10">
        <f>SUM(L5:L9,L11)</f>
        <v>103319547</v>
      </c>
      <c r="M12" s="10">
        <f t="shared" ref="M12:AG12" si="0">SUM(M5:M9,M11)</f>
        <v>0</v>
      </c>
      <c r="N12" s="10"/>
      <c r="O12" s="10">
        <f t="shared" si="0"/>
        <v>96902654</v>
      </c>
      <c r="P12" s="10">
        <f t="shared" si="0"/>
        <v>0</v>
      </c>
      <c r="Q12" s="10"/>
      <c r="R12" s="10">
        <f t="shared" si="0"/>
        <v>100107410</v>
      </c>
      <c r="S12" s="10">
        <f t="shared" si="0"/>
        <v>0</v>
      </c>
      <c r="T12" s="10"/>
      <c r="U12" s="10">
        <f t="shared" si="0"/>
        <v>99154595</v>
      </c>
      <c r="V12" s="10">
        <f t="shared" si="0"/>
        <v>0</v>
      </c>
      <c r="W12" s="10"/>
      <c r="X12" s="10">
        <f t="shared" si="0"/>
        <v>94748625</v>
      </c>
      <c r="Y12" s="10">
        <f t="shared" si="0"/>
        <v>0</v>
      </c>
      <c r="Z12" s="10"/>
      <c r="AA12" s="10">
        <f t="shared" si="0"/>
        <v>103603317</v>
      </c>
      <c r="AB12" s="10">
        <f t="shared" si="0"/>
        <v>0</v>
      </c>
      <c r="AC12" s="10"/>
      <c r="AD12" s="10">
        <f t="shared" si="0"/>
        <v>105362057</v>
      </c>
      <c r="AE12" s="10">
        <f t="shared" si="0"/>
        <v>0</v>
      </c>
      <c r="AF12" s="10"/>
      <c r="AG12" s="10">
        <f t="shared" si="0"/>
        <v>110909680</v>
      </c>
    </row>
    <row r="14" spans="1:34" ht="40.5" customHeight="1" x14ac:dyDescent="0.25">
      <c r="B14" s="2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38"/>
      <c r="T14" s="39"/>
      <c r="AA14" s="21"/>
      <c r="AB14" s="21"/>
      <c r="AC14" s="21"/>
      <c r="AG14" s="28"/>
    </row>
    <row r="15" spans="1:34" ht="40.5" customHeight="1" x14ac:dyDescent="0.3">
      <c r="B15" s="25"/>
      <c r="C15" s="31"/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13"/>
      <c r="Y15" s="13"/>
      <c r="Z15" s="13"/>
      <c r="AA15" s="21"/>
      <c r="AB15" s="21"/>
      <c r="AC15" s="21"/>
      <c r="AG15" s="28"/>
    </row>
    <row r="16" spans="1:34" ht="22.5" customHeight="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3"/>
      <c r="S16" s="33"/>
      <c r="T16" s="33"/>
      <c r="U16" s="13"/>
      <c r="V16" s="13"/>
      <c r="W16" s="13"/>
      <c r="X16" s="13"/>
      <c r="Y16" s="13"/>
      <c r="Z16" s="13"/>
      <c r="AA16" s="21"/>
      <c r="AB16" s="21"/>
      <c r="AC16" s="21"/>
      <c r="AD16" s="29"/>
      <c r="AE16" s="29"/>
      <c r="AF16" s="29"/>
      <c r="AG16" s="28"/>
    </row>
    <row r="17" spans="2:33" ht="22.5" customHeight="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X17" s="13"/>
      <c r="Y17" s="13"/>
      <c r="Z17" s="13"/>
      <c r="AA17" s="21"/>
      <c r="AB17" s="21"/>
      <c r="AC17" s="21"/>
      <c r="AD17" s="29"/>
      <c r="AE17" s="29"/>
      <c r="AF17" s="29"/>
    </row>
    <row r="18" spans="2:33" ht="22.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AA18" s="21"/>
      <c r="AB18" s="21"/>
      <c r="AC18" s="21"/>
      <c r="AD18" s="29"/>
      <c r="AE18" s="29"/>
      <c r="AF18" s="29"/>
    </row>
    <row r="19" spans="2:33" ht="22.5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3"/>
      <c r="S19" s="33"/>
      <c r="T19" s="33"/>
      <c r="U19" s="13"/>
      <c r="V19" s="13"/>
      <c r="W19" s="13"/>
      <c r="X19" s="13"/>
      <c r="Y19" s="13"/>
      <c r="Z19" s="13"/>
      <c r="AA19" s="21"/>
      <c r="AB19" s="21"/>
      <c r="AC19" s="21"/>
      <c r="AD19" s="29"/>
      <c r="AE19" s="29"/>
      <c r="AF19" s="29"/>
    </row>
    <row r="20" spans="2:33" ht="22.5" customHeight="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3"/>
      <c r="S20" s="33"/>
      <c r="T20" s="33"/>
      <c r="U20" s="21"/>
      <c r="V20" s="21"/>
      <c r="W20" s="21"/>
      <c r="AA20" s="21"/>
      <c r="AB20" s="21"/>
      <c r="AC20" s="21"/>
      <c r="AG20" s="28"/>
    </row>
    <row r="21" spans="2:33" ht="22.5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3"/>
      <c r="S21" s="33"/>
      <c r="T21" s="33"/>
      <c r="U21" s="21"/>
      <c r="V21" s="21"/>
      <c r="W21" s="21"/>
      <c r="AA21" s="21"/>
      <c r="AB21" s="21"/>
      <c r="AC21" s="21"/>
    </row>
    <row r="22" spans="2:33" ht="22.5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3"/>
      <c r="S22" s="33"/>
      <c r="T22" s="33"/>
      <c r="U22" s="21"/>
      <c r="V22" s="21"/>
      <c r="W22" s="21"/>
      <c r="AA22" s="21"/>
      <c r="AB22" s="21"/>
      <c r="AC22" s="21"/>
    </row>
    <row r="23" spans="2:33" ht="22.5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3"/>
      <c r="S23" s="33"/>
      <c r="T23" s="33"/>
      <c r="U23" s="21"/>
      <c r="V23" s="21"/>
      <c r="W23" s="21"/>
      <c r="AA23" s="21"/>
      <c r="AB23" s="21"/>
      <c r="AC23" s="21"/>
    </row>
    <row r="24" spans="2:33" ht="22.5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3"/>
      <c r="S24" s="33"/>
      <c r="T24" s="33"/>
      <c r="U24" s="21"/>
      <c r="V24" s="21"/>
      <c r="W24" s="21"/>
      <c r="AA24" s="21"/>
      <c r="AB24" s="21"/>
      <c r="AC24" s="21"/>
    </row>
    <row r="25" spans="2:33" ht="22.5" customHeight="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3"/>
      <c r="S25" s="33"/>
      <c r="T25" s="33"/>
      <c r="U25" s="21"/>
      <c r="V25" s="21"/>
      <c r="W25" s="21"/>
      <c r="AA25" s="21"/>
      <c r="AB25" s="21"/>
      <c r="AC25" s="21"/>
    </row>
    <row r="26" spans="2:33" ht="22.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21"/>
      <c r="V26" s="21"/>
      <c r="W26" s="21"/>
      <c r="AA26" s="22"/>
      <c r="AB26" s="22"/>
      <c r="AC26" s="22"/>
    </row>
    <row r="27" spans="2:33" ht="22.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3"/>
      <c r="S27" s="33"/>
      <c r="T27" s="33"/>
      <c r="U27" s="21"/>
      <c r="V27" s="21"/>
      <c r="W27" s="21"/>
    </row>
    <row r="28" spans="2:33" ht="22.5" customHeight="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22"/>
      <c r="V28" s="22"/>
      <c r="W28" s="22"/>
    </row>
  </sheetData>
  <mergeCells count="6">
    <mergeCell ref="C14:R14"/>
    <mergeCell ref="A2:AG2"/>
    <mergeCell ref="A4:A11"/>
    <mergeCell ref="B4:AG4"/>
    <mergeCell ref="B10:AG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Рощин Игорь Сергеевич</cp:lastModifiedBy>
  <dcterms:created xsi:type="dcterms:W3CDTF">2013-11-13T16:10:49Z</dcterms:created>
  <dcterms:modified xsi:type="dcterms:W3CDTF">2024-04-24T07:18:19Z</dcterms:modified>
</cp:coreProperties>
</file>