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15" yWindow="45" windowWidth="10200" windowHeight="7695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  <externalReference r:id="rId14"/>
  </externalReferences>
  <calcPr calcId="162913"/>
</workbook>
</file>

<file path=xl/calcChain.xml><?xml version="1.0" encoding="utf-8"?>
<calcChain xmlns="http://schemas.openxmlformats.org/spreadsheetml/2006/main">
  <c r="F8" i="16" l="1"/>
  <c r="F10" i="16"/>
  <c r="F7" i="16"/>
  <c r="F5" i="16"/>
  <c r="M11" i="16" l="1"/>
  <c r="L11" i="16"/>
  <c r="K11" i="16"/>
  <c r="J11" i="16"/>
  <c r="D11" i="16"/>
  <c r="I11" i="16"/>
  <c r="N11" i="16"/>
  <c r="H11" i="16"/>
  <c r="G11" i="16"/>
  <c r="F11" i="16"/>
  <c r="C11" i="16" l="1"/>
  <c r="J5" i="15"/>
  <c r="I7" i="15" l="1"/>
  <c r="I5" i="15"/>
  <c r="H8" i="15" l="1"/>
  <c r="H5" i="15"/>
  <c r="G5" i="15" l="1"/>
  <c r="G8" i="15"/>
  <c r="F7" i="15" l="1"/>
  <c r="F5" i="15"/>
  <c r="E8" i="15" l="1"/>
  <c r="E5" i="15"/>
  <c r="D8" i="15" l="1"/>
  <c r="D5" i="15"/>
  <c r="C8" i="15" l="1"/>
  <c r="C5" i="15"/>
  <c r="AH10" i="13" l="1"/>
  <c r="AH8" i="13"/>
  <c r="AH7" i="13"/>
  <c r="AH5" i="13"/>
  <c r="K11" i="15"/>
  <c r="H11" i="15"/>
  <c r="D11" i="15"/>
  <c r="N11" i="15"/>
  <c r="L11" i="15"/>
  <c r="J11" i="15"/>
  <c r="I11" i="15"/>
  <c r="G11" i="15"/>
  <c r="F11" i="15"/>
  <c r="E11" i="15"/>
  <c r="C11" i="15"/>
  <c r="AS8" i="14" l="1"/>
  <c r="AS5" i="14"/>
  <c r="AR10" i="14" l="1"/>
  <c r="AO8" i="14" l="1"/>
  <c r="AO5" i="14"/>
  <c r="AN10" i="14" l="1"/>
  <c r="AK8" i="14" l="1"/>
  <c r="AK5" i="14"/>
  <c r="AG8" i="14" l="1"/>
  <c r="AG5" i="14"/>
  <c r="AC8" i="14" l="1"/>
  <c r="AC5" i="14"/>
  <c r="AC11" i="14"/>
  <c r="Y8" i="14" l="1"/>
  <c r="Y5" i="14"/>
  <c r="U8" i="14" l="1"/>
  <c r="U5" i="14"/>
  <c r="Q8" i="14" l="1"/>
  <c r="Q5" i="14"/>
  <c r="M8" i="14" l="1"/>
  <c r="M5" i="14"/>
  <c r="J8" i="14" l="1"/>
  <c r="J5" i="14"/>
  <c r="G8" i="14" l="1"/>
  <c r="G5" i="14"/>
  <c r="D8" i="14" l="1"/>
  <c r="D5" i="14"/>
  <c r="D11" i="14" l="1"/>
  <c r="W10" i="12"/>
  <c r="W8" i="12"/>
  <c r="W7" i="12"/>
  <c r="W5" i="12"/>
  <c r="AG11" i="14"/>
  <c r="Z11" i="14"/>
  <c r="U11" i="14"/>
  <c r="G11" i="14"/>
  <c r="AS11" i="14"/>
  <c r="AO11" i="14"/>
  <c r="AK11" i="14"/>
  <c r="Y11" i="14"/>
  <c r="Q11" i="14"/>
  <c r="M11" i="14"/>
  <c r="J11" i="14"/>
  <c r="AG8" i="13" l="1"/>
  <c r="AG5" i="13"/>
  <c r="AG10" i="13"/>
  <c r="AD8" i="13"/>
  <c r="AD5" i="13"/>
  <c r="AD10" i="13"/>
  <c r="AA8" i="13"/>
  <c r="AA5" i="13"/>
  <c r="X8" i="13"/>
  <c r="X5" i="13"/>
  <c r="U8" i="13"/>
  <c r="U5" i="13"/>
  <c r="R8" i="13"/>
  <c r="R5" i="13"/>
  <c r="O8" i="13"/>
  <c r="O5" i="13"/>
  <c r="L7" i="13"/>
  <c r="L5" i="13"/>
  <c r="I8" i="13"/>
  <c r="I5" i="13"/>
  <c r="G8" i="13"/>
  <c r="G5" i="13"/>
  <c r="E8" i="13"/>
  <c r="E5" i="13"/>
  <c r="C8" i="13"/>
  <c r="C5" i="13"/>
  <c r="S11" i="13"/>
  <c r="X11" i="13"/>
  <c r="AG11" i="13"/>
  <c r="AD11" i="13"/>
  <c r="AA11" i="13"/>
  <c r="U11" i="13"/>
  <c r="O11" i="13"/>
  <c r="L11" i="13"/>
  <c r="I11" i="13"/>
  <c r="G11" i="13"/>
  <c r="E11" i="13"/>
  <c r="C11" i="13"/>
  <c r="R11" i="13"/>
  <c r="V7" i="12"/>
  <c r="V5" i="12"/>
  <c r="O10" i="11"/>
  <c r="O8" i="11"/>
  <c r="O7" i="11"/>
  <c r="O5" i="11"/>
  <c r="T8" i="12"/>
  <c r="T5" i="12"/>
  <c r="R8" i="12"/>
  <c r="R5" i="12"/>
  <c r="P8" i="12"/>
  <c r="P5" i="12"/>
  <c r="N8" i="12"/>
  <c r="N5" i="12"/>
  <c r="M11" i="12"/>
  <c r="N11" i="12"/>
  <c r="N6" i="12"/>
  <c r="L8" i="12"/>
  <c r="L5" i="12"/>
  <c r="Q6" i="11"/>
  <c r="L6" i="12"/>
  <c r="L11" i="12"/>
  <c r="J8" i="12"/>
  <c r="J5" i="12"/>
  <c r="J11" i="12"/>
  <c r="J6" i="12"/>
  <c r="H8" i="12"/>
  <c r="H5" i="12"/>
  <c r="H6" i="12"/>
  <c r="F8" i="12"/>
  <c r="F5" i="12"/>
  <c r="E8" i="12"/>
  <c r="E5" i="12"/>
  <c r="D8" i="12"/>
  <c r="D5" i="12"/>
  <c r="Q7" i="11"/>
  <c r="Q8" i="11"/>
  <c r="Q10" i="11"/>
  <c r="Q5" i="11"/>
  <c r="C8" i="12"/>
  <c r="C5" i="12"/>
  <c r="P11" i="12"/>
  <c r="H11" i="12"/>
  <c r="C11" i="12"/>
  <c r="V11" i="12"/>
  <c r="T11" i="12"/>
  <c r="R11" i="12"/>
  <c r="F11" i="12"/>
  <c r="E11" i="12"/>
  <c r="D11" i="12"/>
  <c r="N7" i="11"/>
  <c r="N5" i="11"/>
  <c r="M8" i="11"/>
  <c r="M5" i="11"/>
  <c r="L8" i="11"/>
  <c r="L5" i="11"/>
  <c r="K8" i="11"/>
  <c r="K5" i="11"/>
  <c r="I8" i="11"/>
  <c r="I5" i="11"/>
  <c r="J8" i="11"/>
  <c r="J5" i="11"/>
  <c r="H8" i="11"/>
  <c r="H5" i="11"/>
  <c r="G8" i="11"/>
  <c r="G5" i="11"/>
  <c r="F8" i="11"/>
  <c r="F5" i="11"/>
  <c r="E8" i="11"/>
  <c r="E5" i="11"/>
  <c r="D8" i="11"/>
  <c r="D5" i="11"/>
  <c r="N7" i="10"/>
  <c r="N8" i="10"/>
  <c r="M7" i="10"/>
  <c r="M8" i="10"/>
  <c r="L7" i="10"/>
  <c r="L8" i="10"/>
  <c r="K7" i="10"/>
  <c r="K8" i="10"/>
  <c r="C7" i="11"/>
  <c r="C8" i="11"/>
  <c r="C5" i="11"/>
  <c r="N11" i="11"/>
  <c r="M11" i="11"/>
  <c r="C11" i="11"/>
  <c r="J11" i="11"/>
  <c r="I11" i="11"/>
  <c r="F11" i="11"/>
  <c r="E11" i="11"/>
  <c r="L11" i="11"/>
  <c r="K11" i="11"/>
  <c r="H11" i="11"/>
  <c r="G11" i="11"/>
  <c r="D11" i="11"/>
  <c r="N11" i="10"/>
  <c r="N5" i="10"/>
  <c r="M5" i="10"/>
  <c r="L5" i="10"/>
  <c r="K5" i="10"/>
  <c r="J8" i="10"/>
  <c r="J5" i="10"/>
  <c r="I8" i="10"/>
  <c r="I5" i="10"/>
  <c r="H8" i="10"/>
  <c r="H5" i="10"/>
  <c r="G8" i="10"/>
  <c r="G7" i="10"/>
  <c r="G5" i="10"/>
  <c r="E7" i="10"/>
  <c r="E8" i="10"/>
  <c r="D7" i="10"/>
  <c r="D8" i="10"/>
  <c r="F8" i="10"/>
  <c r="F5" i="10"/>
  <c r="E5" i="10"/>
  <c r="D5" i="10"/>
  <c r="K11" i="10"/>
  <c r="J11" i="10"/>
  <c r="I11" i="10"/>
  <c r="H11" i="10"/>
  <c r="G11" i="10"/>
  <c r="F11" i="10"/>
  <c r="E11" i="10"/>
  <c r="D11" i="10"/>
  <c r="C11" i="10"/>
  <c r="M11" i="10"/>
  <c r="L11" i="10"/>
  <c r="N7" i="9"/>
  <c r="N5" i="9"/>
  <c r="M7" i="9"/>
  <c r="M5" i="9"/>
  <c r="L8" i="9"/>
  <c r="L5" i="9"/>
  <c r="K11" i="9"/>
  <c r="J11" i="9"/>
  <c r="I11" i="9"/>
  <c r="G11" i="9"/>
  <c r="N11" i="9"/>
  <c r="M11" i="9"/>
  <c r="L11" i="9"/>
  <c r="H11" i="9"/>
  <c r="F11" i="9"/>
  <c r="E11" i="9"/>
  <c r="D11" i="9"/>
  <c r="C11" i="9"/>
  <c r="N10" i="8"/>
  <c r="M10" i="8"/>
  <c r="L10" i="8"/>
  <c r="K10" i="8"/>
  <c r="J10" i="8"/>
  <c r="I10" i="8"/>
  <c r="H10" i="8"/>
  <c r="G10" i="8"/>
  <c r="F10" i="8"/>
  <c r="E10" i="8"/>
  <c r="D10" i="8"/>
  <c r="C10" i="8"/>
  <c r="C10" i="7"/>
  <c r="N10" i="7"/>
  <c r="M10" i="7"/>
  <c r="L10" i="7"/>
  <c r="K10" i="7"/>
  <c r="J10" i="7"/>
  <c r="I10" i="7"/>
  <c r="H10" i="7"/>
  <c r="G10" i="7"/>
  <c r="F10" i="7"/>
  <c r="E10" i="7"/>
  <c r="D10" i="7"/>
  <c r="C10" i="6"/>
  <c r="N10" i="6"/>
  <c r="M10" i="6"/>
  <c r="L10" i="6"/>
  <c r="K10" i="6"/>
  <c r="J10" i="6"/>
  <c r="I10" i="6"/>
  <c r="H10" i="6"/>
  <c r="G10" i="6"/>
  <c r="F10" i="6"/>
  <c r="E10" i="6"/>
  <c r="D10" i="6"/>
  <c r="N9" i="5"/>
  <c r="M9" i="5"/>
  <c r="L9" i="5"/>
  <c r="K9" i="5"/>
  <c r="J9" i="5"/>
  <c r="I9" i="5"/>
  <c r="H9" i="5"/>
  <c r="G9" i="5"/>
  <c r="F9" i="5"/>
  <c r="E9" i="5"/>
  <c r="D9" i="5"/>
  <c r="C9" i="5"/>
  <c r="M11" i="15" l="1"/>
</calcChain>
</file>

<file path=xl/sharedStrings.xml><?xml version="1.0" encoding="utf-8"?>
<sst xmlns="http://schemas.openxmlformats.org/spreadsheetml/2006/main" count="271" uniqueCount="36">
  <si>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</si>
  <si>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</si>
  <si>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</si>
  <si>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</si>
  <si>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</si>
  <si>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</si>
  <si>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</si>
  <si>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</si>
  <si>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</si>
  <si>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</si>
  <si>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</si>
  <si>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</si>
  <si>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</si>
  <si>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</si>
  <si>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</si>
  <si>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СН2</t>
  </si>
  <si>
    <t>ИТОГО</t>
  </si>
  <si>
    <t>Прочие потребители, кВтч</t>
  </si>
  <si>
    <t>Население, кВтч</t>
  </si>
  <si>
    <t>ОАО "МРСК Центра" - "Липецкэнерго"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</si>
  <si>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</si>
  <si>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2014 год</t>
  </si>
  <si>
    <t>ВН1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</si>
  <si>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</si>
  <si>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2016 год</t>
  </si>
  <si>
    <t>ПАО "МРСК Центра" - "Липецкэнерго"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</si>
  <si>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2017 год</t>
  </si>
  <si>
    <t>СН1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</si>
  <si>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</si>
  <si>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</si>
  <si>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2020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</si>
  <si>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2021 год</t>
  </si>
  <si>
    <t>филиал ПАО "Россети Центр" - "Липецкэнерго"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</si>
  <si>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</si>
  <si>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</si>
  <si>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Липецкой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</si>
</sst>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2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1" fontId="2" fillId="0" borderId="0" xfId="0" applyNumberFormat="1" applyFont="1"/>
    <xf numFmtId="165" fontId="2" fillId="0" borderId="0" xfId="0" applyNumberFormat="1" applyFont="1"/>
    <xf numFmtId="3" fontId="7" fillId="0" borderId="0" xfId="0" applyNumberFormat="1" applyFont="1"/>
    <xf numFmtId="3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51;&#1080;&#1087;&#1077;&#1094;&#1082;/03/&#1056;&#1072;&#1089;&#1095;&#1077;&#1090;%20&#1051;&#1080;&#1087;&#1077;&#1094;&#1082;%20&#1070;&#1042;&#1046;&#1044;_032024%20&#1074;&#1099;&#1089;&#1090;&#1072;&#1074;&#1083;&#1077;&#1085;&#1086;%20&#1085;&#1072;%20&#1056;&#1046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72;&#1089;&#1095;&#1077;&#1090;&#1099;/&#1056;&#1072;&#1089;&#1095;&#1077;&#1090;&#1099;%202024/&#1051;&#1080;&#1087;&#1077;&#1094;&#1082;/03/&#1057;&#1074;&#1086;&#1076;&#1085;&#1099;&#1081;%20&#1072;&#1082;&#1090;%20%20&#1084;&#1072;&#1088;&#1090;%202024%20%20&#1051;&#1080;&#1087;&#1077;&#1094;&#1082;_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 по НОВОМУ  (2)"/>
      <sheetName val="Расчет Кировэнергосбыт для эф-т"/>
      <sheetName val="расчет цен по ПС"/>
      <sheetName val="мощн АТС"/>
      <sheetName val="час гп"/>
      <sheetName val="для дороги"/>
      <sheetName val="розница (выгр от сбыта)"/>
      <sheetName val="интегр. розница"/>
      <sheetName val="Интер акт сов 1 ВН"/>
      <sheetName val="Интер акт сов 1 СН1"/>
      <sheetName val="Интер акт сов 1 СН2"/>
      <sheetName val="Интер акт сов 2 ВН ФСК"/>
      <sheetName val="Интер акт сов 2 ВН ТСО"/>
      <sheetName val="Интер акт сов 3 ВН"/>
      <sheetName val="Интер акт Своб Сокол"/>
      <sheetName val="не печатаем 1 цкат"/>
      <sheetName val="не печатаем 1 цк"/>
      <sheetName val="Интер акт сов 7 СН1"/>
      <sheetName val="Интер акт сов 7 ВН"/>
      <sheetName val="Интер акт сов 6 СН2"/>
      <sheetName val="Интер акт сов 6 ВН"/>
      <sheetName val="Интер акт сов 5 СН2"/>
      <sheetName val="Интер акт сов 5 ВН"/>
      <sheetName val="Интер акт сов 4 ВН"/>
      <sheetName val="Интер акт сов 4 СН1"/>
      <sheetName val="Лист1"/>
      <sheetName val="расчет цен эфф"/>
      <sheetName val="Интер акт ТЭЦ"/>
      <sheetName val="Мощность СО"/>
      <sheetName val="мощность КО"/>
      <sheetName val="интегр. общий"/>
      <sheetName val="расчет цен"/>
      <sheetName val="АТС"/>
      <sheetName val="расчет цен с декабрем"/>
      <sheetName val="для 1 с"/>
      <sheetName val="интегр опт"/>
      <sheetName val="выгрузка "/>
      <sheetName val="127"/>
      <sheetName val="Альфа"/>
      <sheetName val="расчет цен (2)"/>
      <sheetName val="Почасовки в сбы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3">
          <cell r="G13">
            <v>185.89400000000001</v>
          </cell>
        </row>
        <row r="14">
          <cell r="G14">
            <v>5318.2588800000003</v>
          </cell>
        </row>
        <row r="15">
          <cell r="G15">
            <v>1943.9871199999989</v>
          </cell>
        </row>
        <row r="16">
          <cell r="G16">
            <v>247.178</v>
          </cell>
        </row>
        <row r="19">
          <cell r="G19">
            <v>188.697</v>
          </cell>
        </row>
        <row r="20">
          <cell r="G20">
            <v>224.20099999999999</v>
          </cell>
        </row>
        <row r="21">
          <cell r="G21">
            <v>21.984999999999999</v>
          </cell>
        </row>
        <row r="22">
          <cell r="G22">
            <v>253.43799999999999</v>
          </cell>
        </row>
        <row r="24">
          <cell r="G24">
            <v>104.982</v>
          </cell>
        </row>
        <row r="25">
          <cell r="G25">
            <v>6.4020000000000001</v>
          </cell>
        </row>
        <row r="26">
          <cell r="G26">
            <v>8.4760000000000009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Липецк "/>
      <sheetName val="Воронеж"/>
      <sheetName val="Елец"/>
      <sheetName val="Липецк_ОРЭ_общ"/>
      <sheetName val="ОАО ВРК_Липецк"/>
      <sheetName val="Липецк_ПАО &quot;Россети&quot;"/>
      <sheetName val="сводн. Липецк"/>
      <sheetName val="ФСК транзит"/>
    </sheetNames>
    <sheetDataSet>
      <sheetData sheetId="0" refreshError="1"/>
      <sheetData sheetId="1">
        <row r="7">
          <cell r="P7">
            <v>3582</v>
          </cell>
        </row>
      </sheetData>
      <sheetData sheetId="2">
        <row r="4">
          <cell r="C4" t="str">
            <v>ПС 110 кВ Елец-тяговая Ввод-1 (прием)</v>
          </cell>
        </row>
      </sheetData>
      <sheetData sheetId="3">
        <row r="10">
          <cell r="A10" t="str">
            <v>за период "01" март  2024 г. - "31" март 2024 г.</v>
          </cell>
        </row>
      </sheetData>
      <sheetData sheetId="4">
        <row r="8">
          <cell r="F8">
            <v>29592</v>
          </cell>
        </row>
        <row r="18">
          <cell r="F18">
            <v>32283</v>
          </cell>
        </row>
      </sheetData>
      <sheetData sheetId="5">
        <row r="39">
          <cell r="J39">
            <v>21353300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F9" sqref="F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19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3">
        <v>0</v>
      </c>
      <c r="D5" s="3">
        <v>0</v>
      </c>
      <c r="E5" s="3">
        <v>0</v>
      </c>
      <c r="F5" s="3">
        <v>7971918</v>
      </c>
      <c r="G5" s="3">
        <v>8107202</v>
      </c>
      <c r="H5" s="3">
        <v>8188493</v>
      </c>
      <c r="I5" s="3">
        <v>9382218</v>
      </c>
      <c r="J5" s="3">
        <v>8952708</v>
      </c>
      <c r="K5" s="3">
        <v>8895241</v>
      </c>
      <c r="L5" s="3">
        <v>12051375.333333334</v>
      </c>
      <c r="M5" s="3">
        <v>9472125.333333334</v>
      </c>
      <c r="N5" s="3">
        <v>11075517</v>
      </c>
    </row>
    <row r="6" spans="1:14" ht="22.5" customHeight="1" x14ac:dyDescent="0.25">
      <c r="A6" s="31"/>
      <c r="B6" s="5" t="s">
        <v>15</v>
      </c>
      <c r="C6" s="3">
        <v>0</v>
      </c>
      <c r="D6" s="3">
        <v>0</v>
      </c>
      <c r="E6" s="3">
        <v>0</v>
      </c>
      <c r="F6" s="3">
        <v>68158</v>
      </c>
      <c r="G6" s="3">
        <v>44378</v>
      </c>
      <c r="H6" s="3">
        <v>36988</v>
      </c>
      <c r="I6" s="3">
        <v>55353</v>
      </c>
      <c r="J6" s="3">
        <v>45864</v>
      </c>
      <c r="K6" s="3">
        <v>47776</v>
      </c>
      <c r="L6" s="3">
        <v>44489</v>
      </c>
      <c r="M6" s="3">
        <v>51403</v>
      </c>
      <c r="N6" s="3">
        <v>56582</v>
      </c>
    </row>
    <row r="7" spans="1:14" ht="22.5" customHeight="1" x14ac:dyDescent="0.25">
      <c r="A7" s="31"/>
      <c r="B7" s="27" t="s">
        <v>18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22.5" customHeight="1" x14ac:dyDescent="0.25">
      <c r="A8" s="31"/>
      <c r="B8" s="4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 x14ac:dyDescent="0.25">
      <c r="A9" s="32" t="s">
        <v>16</v>
      </c>
      <c r="B9" s="33"/>
      <c r="C9" s="9">
        <f t="shared" ref="C9:N9" si="0">SUM(C5:C6,C8)</f>
        <v>0</v>
      </c>
      <c r="D9" s="9">
        <f t="shared" si="0"/>
        <v>0</v>
      </c>
      <c r="E9" s="9">
        <f t="shared" si="0"/>
        <v>0</v>
      </c>
      <c r="F9" s="9">
        <f t="shared" si="0"/>
        <v>8040076</v>
      </c>
      <c r="G9" s="9">
        <f t="shared" si="0"/>
        <v>8151580</v>
      </c>
      <c r="H9" s="9">
        <f t="shared" si="0"/>
        <v>8225481</v>
      </c>
      <c r="I9" s="9">
        <f t="shared" si="0"/>
        <v>9437571</v>
      </c>
      <c r="J9" s="9">
        <f t="shared" si="0"/>
        <v>8998572</v>
      </c>
      <c r="K9" s="9">
        <f t="shared" si="0"/>
        <v>8943017</v>
      </c>
      <c r="L9" s="9">
        <f t="shared" si="0"/>
        <v>12095864.333333334</v>
      </c>
      <c r="M9" s="9">
        <f t="shared" si="0"/>
        <v>9523528.333333334</v>
      </c>
      <c r="N9" s="9">
        <f t="shared" si="0"/>
        <v>11132099</v>
      </c>
    </row>
    <row r="11" spans="1:14" ht="22.5" customHeight="1" x14ac:dyDescent="0.25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</sheetData>
  <mergeCells count="5">
    <mergeCell ref="A2:N2"/>
    <mergeCell ref="B4:N4"/>
    <mergeCell ref="A4:A8"/>
    <mergeCell ref="B7:N7"/>
    <mergeCell ref="A9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9"/>
  <sheetViews>
    <sheetView zoomScale="70" zoomScaleNormal="70" workbookViewId="0">
      <selection activeCell="AT5" sqref="AT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140625" style="1" customWidth="1"/>
    <col min="46" max="46" width="9.140625" style="19"/>
    <col min="47" max="16384" width="9.140625" style="1"/>
  </cols>
  <sheetData>
    <row r="2" spans="1:46" ht="42.75" customHeight="1" x14ac:dyDescent="0.2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20"/>
    </row>
    <row r="4" spans="1:46" ht="22.5" customHeight="1" x14ac:dyDescent="0.25">
      <c r="A4" s="30" t="s">
        <v>32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</row>
    <row r="5" spans="1:46" ht="22.5" customHeight="1" x14ac:dyDescent="0.25">
      <c r="A5" s="31"/>
      <c r="B5" s="5" t="s">
        <v>14</v>
      </c>
      <c r="C5" s="5">
        <v>1.0837508898775852</v>
      </c>
      <c r="D5" s="14">
        <f>6254760+2009279</f>
        <v>8264039</v>
      </c>
      <c r="E5" s="14"/>
      <c r="F5" s="14">
        <v>0.8680316203006746</v>
      </c>
      <c r="G5" s="3">
        <f>6123454+1431936</f>
        <v>7555390</v>
      </c>
      <c r="H5" s="3"/>
      <c r="I5" s="3">
        <v>1.1074245376422513</v>
      </c>
      <c r="J5" s="3">
        <f>6776576+1641809</f>
        <v>8418385</v>
      </c>
      <c r="K5" s="3"/>
      <c r="L5" s="3">
        <v>0.93704254647029983</v>
      </c>
      <c r="M5" s="3">
        <f>4878962+1035834</f>
        <v>5914796</v>
      </c>
      <c r="N5" s="3"/>
      <c r="O5" s="3"/>
      <c r="P5" s="3">
        <v>1.1269650182322202</v>
      </c>
      <c r="Q5" s="3">
        <f>6460691+905438</f>
        <v>7366129</v>
      </c>
      <c r="R5" s="3"/>
      <c r="S5" s="3"/>
      <c r="T5" s="3">
        <v>0.97902713533054486</v>
      </c>
      <c r="U5" s="12">
        <f>5762572+798525</f>
        <v>6561097</v>
      </c>
      <c r="V5" s="12"/>
      <c r="W5" s="12"/>
      <c r="X5" s="12">
        <v>1.0778065082141211</v>
      </c>
      <c r="Y5" s="12">
        <f>5919871+877375</f>
        <v>6797246</v>
      </c>
      <c r="Z5" s="12"/>
      <c r="AA5" s="12"/>
      <c r="AB5" s="12">
        <v>0.91250119740628011</v>
      </c>
      <c r="AC5" s="12">
        <f>5901063+897206</f>
        <v>6798269</v>
      </c>
      <c r="AD5" s="12"/>
      <c r="AE5" s="12"/>
      <c r="AF5" s="12">
        <v>0.90218446191725732</v>
      </c>
      <c r="AG5" s="12">
        <f>5491787+951928</f>
        <v>6443715</v>
      </c>
      <c r="AH5" s="12"/>
      <c r="AI5" s="12"/>
      <c r="AJ5" s="12">
        <v>1.1471752683774898</v>
      </c>
      <c r="AK5" s="12">
        <f>5630165+1280257</f>
        <v>6910422</v>
      </c>
      <c r="AL5" s="12"/>
      <c r="AM5" s="12"/>
      <c r="AN5" s="12">
        <v>1.0272607845675386</v>
      </c>
      <c r="AO5" s="12">
        <f>5794255+1473940</f>
        <v>7268195</v>
      </c>
      <c r="AP5" s="12"/>
      <c r="AQ5" s="12"/>
      <c r="AR5" s="12">
        <v>1.0722169204865442</v>
      </c>
      <c r="AS5" s="3">
        <f>5476478+1789794</f>
        <v>7266272</v>
      </c>
    </row>
    <row r="6" spans="1:46" ht="22.5" customHeight="1" x14ac:dyDescent="0.25">
      <c r="A6" s="31"/>
      <c r="B6" s="13" t="s">
        <v>22</v>
      </c>
      <c r="C6" s="13"/>
      <c r="D6" s="15"/>
      <c r="E6" s="15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  <c r="Q6" s="3"/>
      <c r="R6" s="3"/>
      <c r="S6" s="3"/>
      <c r="T6" s="3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3"/>
    </row>
    <row r="7" spans="1:46" ht="22.5" customHeight="1" x14ac:dyDescent="0.25">
      <c r="A7" s="31"/>
      <c r="B7" s="13" t="s">
        <v>27</v>
      </c>
      <c r="C7" s="13">
        <v>0.80256683609606816</v>
      </c>
      <c r="D7" s="15">
        <v>760206</v>
      </c>
      <c r="E7" s="15"/>
      <c r="F7" s="15">
        <v>1.213630610487902</v>
      </c>
      <c r="G7" s="12">
        <v>731492</v>
      </c>
      <c r="H7" s="12"/>
      <c r="I7" s="12">
        <v>0.88488287913900054</v>
      </c>
      <c r="J7" s="12">
        <v>711317</v>
      </c>
      <c r="K7" s="12"/>
      <c r="L7" s="12">
        <v>0.7578125233695181</v>
      </c>
      <c r="M7" s="12">
        <v>457782</v>
      </c>
      <c r="N7" s="12"/>
      <c r="O7" s="12"/>
      <c r="P7" s="12">
        <v>0.34210484765472349</v>
      </c>
      <c r="Q7" s="3">
        <v>308291</v>
      </c>
      <c r="R7" s="3"/>
      <c r="S7" s="3"/>
      <c r="T7" s="3">
        <v>0.84752245625573308</v>
      </c>
      <c r="U7" s="12">
        <v>259808</v>
      </c>
      <c r="V7" s="12"/>
      <c r="W7" s="12"/>
      <c r="X7" s="12">
        <v>1.7452878351610202</v>
      </c>
      <c r="Y7" s="12">
        <v>240344</v>
      </c>
      <c r="Z7" s="12"/>
      <c r="AA7" s="12"/>
      <c r="AB7" s="12">
        <v>1.2463503578462918</v>
      </c>
      <c r="AC7" s="12">
        <v>296050</v>
      </c>
      <c r="AD7" s="12"/>
      <c r="AE7" s="12"/>
      <c r="AF7" s="12">
        <v>1.0875208882268634</v>
      </c>
      <c r="AG7" s="12">
        <v>402080</v>
      </c>
      <c r="AH7" s="12"/>
      <c r="AI7" s="12"/>
      <c r="AJ7" s="12">
        <v>1.2932730212991259</v>
      </c>
      <c r="AK7" s="12">
        <v>466294</v>
      </c>
      <c r="AL7" s="12"/>
      <c r="AM7" s="12"/>
      <c r="AN7" s="12">
        <v>1.6161363100350208</v>
      </c>
      <c r="AO7" s="12">
        <v>655573</v>
      </c>
      <c r="AP7" s="12"/>
      <c r="AQ7" s="12"/>
      <c r="AR7" s="12">
        <v>0.96975904709196192</v>
      </c>
      <c r="AS7" s="3">
        <v>704460</v>
      </c>
    </row>
    <row r="8" spans="1:46" ht="22.5" customHeight="1" x14ac:dyDescent="0.25">
      <c r="A8" s="31"/>
      <c r="B8" s="5" t="s">
        <v>15</v>
      </c>
      <c r="C8" s="5">
        <v>1.0503685637209828</v>
      </c>
      <c r="D8" s="14">
        <f>54639+456600</f>
        <v>511239</v>
      </c>
      <c r="E8" s="14"/>
      <c r="F8" s="14">
        <v>1.0805587748344372</v>
      </c>
      <c r="G8" s="3">
        <f>33927+342608</f>
        <v>376535</v>
      </c>
      <c r="H8" s="3"/>
      <c r="I8" s="3">
        <v>0.92244400776823987</v>
      </c>
      <c r="J8" s="3">
        <f>37912+375719</f>
        <v>413631</v>
      </c>
      <c r="K8" s="3"/>
      <c r="L8" s="3">
        <v>0.74948300777356991</v>
      </c>
      <c r="M8" s="3">
        <f>42829+237662</f>
        <v>280491</v>
      </c>
      <c r="N8" s="3"/>
      <c r="O8" s="3"/>
      <c r="P8" s="3">
        <v>0.6719246485213658</v>
      </c>
      <c r="Q8" s="3">
        <f>30841+274693</f>
        <v>305534</v>
      </c>
      <c r="R8" s="3"/>
      <c r="S8" s="3"/>
      <c r="T8" s="3">
        <v>0.95786401042267921</v>
      </c>
      <c r="U8" s="12">
        <f>23742+122497</f>
        <v>146239</v>
      </c>
      <c r="V8" s="12"/>
      <c r="W8" s="12"/>
      <c r="X8" s="12">
        <v>0.38903188595434041</v>
      </c>
      <c r="Y8" s="12">
        <f>20493+124354</f>
        <v>144847</v>
      </c>
      <c r="Z8" s="12"/>
      <c r="AA8" s="12"/>
      <c r="AB8" s="12">
        <v>1.9978978347698129</v>
      </c>
      <c r="AC8" s="12">
        <f>23992+128409</f>
        <v>152401</v>
      </c>
      <c r="AD8" s="12"/>
      <c r="AE8" s="12"/>
      <c r="AF8" s="12">
        <v>1.2339458178273968</v>
      </c>
      <c r="AG8" s="12">
        <f>26206+164649</f>
        <v>190855</v>
      </c>
      <c r="AH8" s="12"/>
      <c r="AI8" s="12"/>
      <c r="AJ8" s="12">
        <v>1.3727386556922372</v>
      </c>
      <c r="AK8" s="12">
        <f>27742+222856</f>
        <v>250598</v>
      </c>
      <c r="AL8" s="12"/>
      <c r="AM8" s="12"/>
      <c r="AN8" s="12">
        <v>1.2155194115243155</v>
      </c>
      <c r="AO8" s="12">
        <f>46369+278563</f>
        <v>324932</v>
      </c>
      <c r="AP8" s="12"/>
      <c r="AQ8" s="12"/>
      <c r="AR8" s="12">
        <v>1.1627850681958165</v>
      </c>
      <c r="AS8" s="3">
        <f>61089+347700</f>
        <v>408789</v>
      </c>
    </row>
    <row r="9" spans="1:46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9"/>
    </row>
    <row r="10" spans="1:46" ht="22.5" customHeight="1" x14ac:dyDescent="0.25">
      <c r="A10" s="31"/>
      <c r="B10" s="4"/>
      <c r="C10" s="4">
        <v>0.90310137324486961</v>
      </c>
      <c r="D10" s="14">
        <v>15089</v>
      </c>
      <c r="E10" s="14"/>
      <c r="F10" s="14">
        <v>0.91582664160829208</v>
      </c>
      <c r="G10" s="3">
        <v>13301</v>
      </c>
      <c r="H10" s="3"/>
      <c r="I10" s="3">
        <v>1.023568186058081</v>
      </c>
      <c r="J10" s="3">
        <v>9031</v>
      </c>
      <c r="K10" s="3"/>
      <c r="L10" s="3">
        <v>0.37332928311057106</v>
      </c>
      <c r="M10" s="3">
        <v>50</v>
      </c>
      <c r="N10" s="3"/>
      <c r="O10" s="3"/>
      <c r="P10" s="3">
        <v>2.2620016273393002E-2</v>
      </c>
      <c r="Q10" s="3">
        <v>56</v>
      </c>
      <c r="R10" s="3"/>
      <c r="S10" s="3"/>
      <c r="T10" s="3">
        <v>0.49640287769784175</v>
      </c>
      <c r="U10" s="12">
        <v>64</v>
      </c>
      <c r="V10" s="12"/>
      <c r="W10" s="12"/>
      <c r="X10" s="12">
        <v>1.4202898550724639</v>
      </c>
      <c r="Y10" s="12">
        <v>80</v>
      </c>
      <c r="Z10" s="12"/>
      <c r="AA10" s="12"/>
      <c r="AB10" s="12">
        <v>1.3265306122448979</v>
      </c>
      <c r="AC10" s="12">
        <v>176</v>
      </c>
      <c r="AD10" s="12"/>
      <c r="AE10" s="12"/>
      <c r="AF10" s="12"/>
      <c r="AG10" s="12">
        <v>140</v>
      </c>
      <c r="AH10" s="12"/>
      <c r="AI10" s="12"/>
      <c r="AJ10" s="12"/>
      <c r="AK10" s="12">
        <v>121</v>
      </c>
      <c r="AL10" s="12"/>
      <c r="AM10" s="12"/>
      <c r="AN10" s="12">
        <f>AK10/AG10</f>
        <v>0.86428571428571432</v>
      </c>
      <c r="AO10" s="12">
        <v>5405</v>
      </c>
      <c r="AP10" s="12"/>
      <c r="AQ10" s="12"/>
      <c r="AR10" s="12">
        <f>AO10/AK10</f>
        <v>44.669421487603309</v>
      </c>
      <c r="AS10" s="12">
        <v>4172</v>
      </c>
    </row>
    <row r="11" spans="1:46" ht="22.5" customHeight="1" x14ac:dyDescent="0.25">
      <c r="A11" s="32" t="s">
        <v>16</v>
      </c>
      <c r="B11" s="33"/>
      <c r="C11" s="21"/>
      <c r="D11" s="9">
        <f t="shared" ref="D11:AO11" si="0">SUM(D5:D8,D10)</f>
        <v>9550573</v>
      </c>
      <c r="E11" s="9"/>
      <c r="F11" s="9"/>
      <c r="G11" s="9">
        <f t="shared" si="0"/>
        <v>8676718</v>
      </c>
      <c r="H11" s="9"/>
      <c r="I11" s="9"/>
      <c r="J11" s="9">
        <f t="shared" si="0"/>
        <v>9552364</v>
      </c>
      <c r="K11" s="9"/>
      <c r="L11" s="9"/>
      <c r="M11" s="9">
        <f t="shared" si="0"/>
        <v>6653119</v>
      </c>
      <c r="N11" s="9"/>
      <c r="O11" s="9"/>
      <c r="P11" s="9"/>
      <c r="Q11" s="9">
        <f t="shared" si="0"/>
        <v>7980010</v>
      </c>
      <c r="R11" s="9"/>
      <c r="S11" s="9"/>
      <c r="T11" s="9"/>
      <c r="U11" s="9">
        <f>ROUND(SUM(U5:U8,U10),0)</f>
        <v>6967208</v>
      </c>
      <c r="V11" s="9"/>
      <c r="W11" s="9"/>
      <c r="X11" s="9"/>
      <c r="Y11" s="9">
        <f>ROUND(SUM(Y5:Y8,Y10),0)</f>
        <v>7182517</v>
      </c>
      <c r="Z11" s="9">
        <f t="shared" ref="Z11" si="1">ROUND(SUM(Z5:Z8,Z10),0)</f>
        <v>0</v>
      </c>
      <c r="AA11" s="9"/>
      <c r="AB11" s="9"/>
      <c r="AC11" s="9">
        <f>ROUND(SUM(AC5:AC8,AC10),0)</f>
        <v>7246896</v>
      </c>
      <c r="AD11" s="9"/>
      <c r="AE11" s="9"/>
      <c r="AF11" s="9"/>
      <c r="AG11" s="9">
        <f t="shared" si="0"/>
        <v>7036790</v>
      </c>
      <c r="AH11" s="16"/>
      <c r="AI11" s="16"/>
      <c r="AJ11" s="16"/>
      <c r="AK11" s="9">
        <f t="shared" si="0"/>
        <v>7627435</v>
      </c>
      <c r="AL11" s="9"/>
      <c r="AM11" s="9"/>
      <c r="AN11" s="9"/>
      <c r="AO11" s="9">
        <f t="shared" si="0"/>
        <v>8254105</v>
      </c>
      <c r="AP11" s="9"/>
      <c r="AQ11" s="9"/>
      <c r="AR11" s="9"/>
      <c r="AS11" s="9">
        <f>SUM(AS5:AS8,AS10)</f>
        <v>8383693</v>
      </c>
    </row>
    <row r="13" spans="1:46" ht="22.5" customHeight="1" x14ac:dyDescent="0.2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6" ht="22.5" customHeight="1" x14ac:dyDescent="0.25">
      <c r="M14" s="10"/>
      <c r="N14" s="10"/>
      <c r="O14" s="10"/>
      <c r="P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K14" s="10"/>
      <c r="AL14" s="10"/>
      <c r="AM14" s="10"/>
      <c r="AN14" s="10"/>
    </row>
    <row r="15" spans="1:46" ht="22.5" customHeight="1" x14ac:dyDescent="0.25">
      <c r="G15" s="10"/>
      <c r="H15" s="10"/>
      <c r="I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K15" s="10"/>
      <c r="AL15" s="10"/>
      <c r="AM15" s="10"/>
      <c r="AN15" s="10"/>
    </row>
    <row r="16" spans="1:46" ht="22.5" customHeight="1" x14ac:dyDescent="0.25"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K16" s="10"/>
      <c r="AL16" s="10"/>
      <c r="AM16" s="10"/>
      <c r="AN16" s="10"/>
    </row>
    <row r="17" spans="10:40" ht="22.5" customHeight="1" x14ac:dyDescent="0.25">
      <c r="Y17" s="10"/>
      <c r="Z17" s="10"/>
      <c r="AA17" s="10"/>
      <c r="AB17" s="10"/>
      <c r="AC17" s="10"/>
      <c r="AD17" s="10"/>
      <c r="AE17" s="10"/>
      <c r="AF17" s="10"/>
      <c r="AK17" s="10"/>
      <c r="AL17" s="10"/>
      <c r="AM17" s="10"/>
      <c r="AN17" s="10"/>
    </row>
    <row r="18" spans="10:40" ht="22.5" customHeight="1" x14ac:dyDescent="0.25">
      <c r="U18" s="17"/>
      <c r="V18" s="17"/>
      <c r="W18" s="17"/>
      <c r="X18" s="17"/>
      <c r="Y18" s="10"/>
      <c r="Z18" s="10"/>
      <c r="AA18" s="10"/>
      <c r="AB18" s="10"/>
    </row>
    <row r="19" spans="10:40" ht="22.5" customHeight="1" x14ac:dyDescent="0.25">
      <c r="J19" s="10"/>
      <c r="K19" s="10"/>
      <c r="L19" s="10"/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80" zoomScaleNormal="80" workbookViewId="0">
      <selection activeCell="N16" sqref="N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32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14">
        <f>5286639+1803868</f>
        <v>7090507</v>
      </c>
      <c r="D5" s="3">
        <f>5025621+1686386</f>
        <v>6712007</v>
      </c>
      <c r="E5" s="3">
        <f>6249268+1627916</f>
        <v>7877184</v>
      </c>
      <c r="F5" s="3">
        <f>1086477+5197843</f>
        <v>6284320</v>
      </c>
      <c r="G5" s="3">
        <f>5970912+927865</f>
        <v>6898777</v>
      </c>
      <c r="H5" s="12">
        <f>5525313+781973</f>
        <v>6307286</v>
      </c>
      <c r="I5" s="12">
        <f>5238925+837337</f>
        <v>6076262</v>
      </c>
      <c r="J5" s="12">
        <f>5838012+121255</f>
        <v>5959267</v>
      </c>
      <c r="K5" s="12">
        <v>6569718.0000000009</v>
      </c>
      <c r="L5" s="12">
        <v>6733814.0000000019</v>
      </c>
      <c r="M5" s="12">
        <v>7305294.9999999981</v>
      </c>
      <c r="N5" s="3">
        <v>7480003.9999999991</v>
      </c>
    </row>
    <row r="6" spans="1:14" ht="22.5" customHeight="1" x14ac:dyDescent="0.25">
      <c r="A6" s="31"/>
      <c r="B6" s="13" t="s">
        <v>22</v>
      </c>
      <c r="C6" s="15"/>
      <c r="D6" s="12"/>
      <c r="E6" s="12"/>
      <c r="F6" s="12"/>
      <c r="G6" s="3"/>
      <c r="H6" s="12"/>
      <c r="I6" s="12"/>
      <c r="J6" s="12"/>
      <c r="K6" s="12"/>
      <c r="L6" s="12"/>
      <c r="M6" s="12"/>
      <c r="N6" s="3"/>
    </row>
    <row r="7" spans="1:14" ht="22.5" customHeight="1" x14ac:dyDescent="0.25">
      <c r="A7" s="31"/>
      <c r="B7" s="13" t="s">
        <v>27</v>
      </c>
      <c r="C7" s="15">
        <v>702945</v>
      </c>
      <c r="D7" s="12">
        <v>546125</v>
      </c>
      <c r="E7" s="12">
        <v>521086</v>
      </c>
      <c r="F7" s="12">
        <f>351063+31865</f>
        <v>382928</v>
      </c>
      <c r="G7" s="3">
        <v>245907</v>
      </c>
      <c r="H7" s="12">
        <v>280839</v>
      </c>
      <c r="I7" s="12">
        <f>28996+344490</f>
        <v>373486</v>
      </c>
      <c r="J7" s="12">
        <v>127601</v>
      </c>
      <c r="K7" s="12">
        <v>207500</v>
      </c>
      <c r="L7" s="12">
        <v>534912</v>
      </c>
      <c r="M7" s="12">
        <v>392177</v>
      </c>
      <c r="N7" s="3">
        <v>476133.00000000006</v>
      </c>
    </row>
    <row r="8" spans="1:14" ht="22.5" customHeight="1" x14ac:dyDescent="0.25">
      <c r="A8" s="31"/>
      <c r="B8" s="5" t="s">
        <v>15</v>
      </c>
      <c r="C8" s="14">
        <f>63266+413113</f>
        <v>476379</v>
      </c>
      <c r="D8" s="3">
        <f>57246+440132</f>
        <v>497378</v>
      </c>
      <c r="E8" s="3">
        <f>34399+453426</f>
        <v>487825</v>
      </c>
      <c r="F8" s="3">
        <v>213559</v>
      </c>
      <c r="G8" s="3">
        <f>31081+174504</f>
        <v>205585</v>
      </c>
      <c r="H8" s="12">
        <f>24537+126935</f>
        <v>151472</v>
      </c>
      <c r="I8" s="12">
        <v>224787</v>
      </c>
      <c r="J8" s="12">
        <v>178799</v>
      </c>
      <c r="K8" s="12">
        <v>184403</v>
      </c>
      <c r="L8" s="12">
        <v>316451</v>
      </c>
      <c r="M8" s="12">
        <v>383333</v>
      </c>
      <c r="N8" s="3">
        <v>486011</v>
      </c>
    </row>
    <row r="9" spans="1:14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31"/>
      <c r="B10" s="4"/>
      <c r="C10" s="14">
        <v>14880</v>
      </c>
      <c r="D10" s="3">
        <v>12643</v>
      </c>
      <c r="E10" s="3">
        <v>13663</v>
      </c>
      <c r="F10" s="3">
        <v>4061</v>
      </c>
      <c r="G10" s="3">
        <v>142</v>
      </c>
      <c r="H10" s="12">
        <v>152</v>
      </c>
      <c r="I10" s="12">
        <v>158</v>
      </c>
      <c r="J10" s="12">
        <v>170</v>
      </c>
      <c r="K10" s="12">
        <v>125</v>
      </c>
      <c r="L10" s="12">
        <v>125</v>
      </c>
      <c r="M10" s="12">
        <v>5332</v>
      </c>
      <c r="N10" s="12">
        <v>12406</v>
      </c>
    </row>
    <row r="11" spans="1:14" ht="22.5" customHeight="1" x14ac:dyDescent="0.25">
      <c r="A11" s="32" t="s">
        <v>16</v>
      </c>
      <c r="B11" s="33"/>
      <c r="C11" s="9">
        <f t="shared" ref="C11:M11" si="0">SUM(C5:C8,C10)</f>
        <v>8284711</v>
      </c>
      <c r="D11" s="9">
        <f t="shared" si="0"/>
        <v>7768153</v>
      </c>
      <c r="E11" s="9">
        <f t="shared" si="0"/>
        <v>8899758</v>
      </c>
      <c r="F11" s="9">
        <f t="shared" si="0"/>
        <v>6884868</v>
      </c>
      <c r="G11" s="9">
        <f t="shared" si="0"/>
        <v>7350411</v>
      </c>
      <c r="H11" s="9">
        <f>ROUND(SUM(H5:H8,H10),0)</f>
        <v>6739749</v>
      </c>
      <c r="I11" s="9">
        <f>ROUND(SUM(I5:I8,I10),0)</f>
        <v>6674693</v>
      </c>
      <c r="J11" s="9">
        <f>ROUND(SUM(J5:J8,J10),0)</f>
        <v>6265837</v>
      </c>
      <c r="K11" s="9">
        <f t="shared" si="0"/>
        <v>6961746.0000000009</v>
      </c>
      <c r="L11" s="9">
        <f t="shared" si="0"/>
        <v>7585302.0000000019</v>
      </c>
      <c r="M11" s="9">
        <f t="shared" si="0"/>
        <v>8086136.9999999981</v>
      </c>
      <c r="N11" s="9">
        <f>SUM(N5:N8,N10)</f>
        <v>8454554</v>
      </c>
    </row>
    <row r="13" spans="1:14" ht="22.5" customHeight="1" x14ac:dyDescent="0.25">
      <c r="C13" s="10"/>
      <c r="D13" s="10"/>
      <c r="E13" s="10"/>
      <c r="F13" s="10"/>
      <c r="G13" s="10"/>
      <c r="H13" s="10"/>
      <c r="I13" s="10"/>
      <c r="J13" s="10"/>
      <c r="L13" s="10"/>
      <c r="M13" s="10"/>
      <c r="N13" s="10"/>
    </row>
    <row r="14" spans="1:14" ht="22.5" customHeight="1" x14ac:dyDescent="0.25">
      <c r="F14" s="10"/>
      <c r="H14" s="10"/>
      <c r="I14" s="10"/>
      <c r="J14" s="10"/>
      <c r="L14" s="10"/>
    </row>
    <row r="15" spans="1:14" ht="22.5" customHeight="1" x14ac:dyDescent="0.25">
      <c r="D15" s="10"/>
      <c r="H15" s="10"/>
      <c r="I15" s="10"/>
      <c r="J15" s="10"/>
      <c r="L15" s="10"/>
    </row>
    <row r="16" spans="1:14" ht="22.5" customHeight="1" x14ac:dyDescent="0.25">
      <c r="H16" s="10"/>
      <c r="I16" s="10"/>
      <c r="J16" s="23"/>
      <c r="L16" s="10"/>
    </row>
    <row r="17" spans="5:12" ht="22.5" customHeight="1" x14ac:dyDescent="0.25">
      <c r="I17" s="10"/>
      <c r="J17" s="24"/>
      <c r="L17" s="10"/>
    </row>
    <row r="18" spans="5:12" ht="22.5" customHeight="1" x14ac:dyDescent="0.25">
      <c r="H18" s="17"/>
      <c r="I18" s="10"/>
      <c r="J18" s="22"/>
      <c r="K18" s="22"/>
    </row>
    <row r="19" spans="5:12" ht="22.5" customHeight="1" x14ac:dyDescent="0.25">
      <c r="E19" s="10"/>
    </row>
    <row r="20" spans="5:12" ht="22.5" customHeight="1" x14ac:dyDescent="0.25">
      <c r="J20" s="10"/>
      <c r="K20" s="22"/>
    </row>
    <row r="22" spans="5:12" ht="22.5" customHeight="1" x14ac:dyDescent="0.25">
      <c r="J22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zoomScale="70" zoomScaleNormal="70" workbookViewId="0">
      <selection activeCell="D20" sqref="D20:E2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32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14">
        <v>7480003.9999999991</v>
      </c>
      <c r="D5" s="3">
        <v>7760801.0000000019</v>
      </c>
      <c r="E5" s="12">
        <v>7695317.9999999991</v>
      </c>
      <c r="F5" s="25">
        <f>SUM('[1]расчет цен'!$G$13:$G$16)*1000</f>
        <v>7695317.9999999991</v>
      </c>
      <c r="G5" s="3"/>
      <c r="H5" s="12"/>
      <c r="I5" s="12"/>
      <c r="J5" s="12"/>
      <c r="K5" s="12"/>
      <c r="L5" s="12"/>
      <c r="M5" s="12"/>
      <c r="N5" s="3"/>
    </row>
    <row r="6" spans="1:14" ht="22.5" customHeight="1" x14ac:dyDescent="0.25">
      <c r="A6" s="31"/>
      <c r="B6" s="13" t="s">
        <v>22</v>
      </c>
      <c r="C6" s="15"/>
      <c r="D6" s="12"/>
      <c r="E6" s="12"/>
      <c r="F6" s="25"/>
      <c r="G6" s="3"/>
      <c r="H6" s="12"/>
      <c r="I6" s="12"/>
      <c r="J6" s="12"/>
      <c r="K6" s="12"/>
      <c r="L6" s="12"/>
      <c r="M6" s="12"/>
      <c r="N6" s="3"/>
    </row>
    <row r="7" spans="1:14" ht="22.5" customHeight="1" x14ac:dyDescent="0.25">
      <c r="A7" s="31"/>
      <c r="B7" s="13" t="s">
        <v>27</v>
      </c>
      <c r="C7" s="15">
        <v>476133.00000000006</v>
      </c>
      <c r="D7" s="12">
        <v>464243</v>
      </c>
      <c r="E7" s="12">
        <v>434883.00000000006</v>
      </c>
      <c r="F7" s="25">
        <f>SUM('[1]расчет цен'!$G$19:$G$21)*1000</f>
        <v>434883.00000000006</v>
      </c>
      <c r="G7" s="3"/>
      <c r="H7" s="12"/>
      <c r="I7" s="12"/>
      <c r="J7" s="12"/>
      <c r="K7" s="12"/>
      <c r="L7" s="12"/>
      <c r="M7" s="12"/>
      <c r="N7" s="3"/>
    </row>
    <row r="8" spans="1:14" ht="22.5" customHeight="1" x14ac:dyDescent="0.25">
      <c r="A8" s="31"/>
      <c r="B8" s="5" t="s">
        <v>15</v>
      </c>
      <c r="C8" s="14">
        <v>486011</v>
      </c>
      <c r="D8" s="3">
        <v>439373</v>
      </c>
      <c r="E8" s="12">
        <v>397104.99999999994</v>
      </c>
      <c r="F8" s="25">
        <f>SUM('[1]расчет цен'!$G$22:$G$25)*1000+'[2]ОАО ВРК_Липецк'!$F$18</f>
        <v>397104.99999999994</v>
      </c>
      <c r="G8" s="3"/>
      <c r="H8" s="12"/>
      <c r="I8" s="12"/>
      <c r="J8" s="12"/>
      <c r="K8" s="12"/>
      <c r="L8" s="12"/>
      <c r="M8" s="12"/>
      <c r="N8" s="3"/>
    </row>
    <row r="9" spans="1:14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31"/>
      <c r="B10" s="4"/>
      <c r="C10" s="14">
        <v>12406</v>
      </c>
      <c r="D10" s="3">
        <v>10915</v>
      </c>
      <c r="E10" s="12">
        <v>8476</v>
      </c>
      <c r="F10" s="25">
        <f>'[1]расчет цен'!$G$26*1000</f>
        <v>8476</v>
      </c>
      <c r="G10" s="3"/>
      <c r="H10" s="12"/>
      <c r="I10" s="12"/>
      <c r="J10" s="12"/>
      <c r="K10" s="12"/>
      <c r="L10" s="12"/>
      <c r="M10" s="12"/>
      <c r="N10" s="12"/>
    </row>
    <row r="11" spans="1:14" ht="22.5" customHeight="1" x14ac:dyDescent="0.25">
      <c r="A11" s="32" t="s">
        <v>16</v>
      </c>
      <c r="B11" s="33"/>
      <c r="C11" s="9">
        <f t="shared" ref="C11:M11" si="0">SUM(C5:C8,C10)</f>
        <v>8454554</v>
      </c>
      <c r="D11" s="9">
        <f t="shared" si="0"/>
        <v>8675332.0000000019</v>
      </c>
      <c r="E11" s="9">
        <v>8535781.9999999981</v>
      </c>
      <c r="F11" s="9">
        <f t="shared" si="0"/>
        <v>8535781.9999999981</v>
      </c>
      <c r="G11" s="9">
        <f t="shared" si="0"/>
        <v>0</v>
      </c>
      <c r="H11" s="9">
        <f>ROUND(SUM(H5:H8,H10),0)</f>
        <v>0</v>
      </c>
      <c r="I11" s="9">
        <f>ROUND(SUM(I5:I8,I10),0)</f>
        <v>0</v>
      </c>
      <c r="J11" s="9">
        <f>ROUND(SUM(J5:J8,J10),0)</f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>SUM(N5:N8,N10)</f>
        <v>0</v>
      </c>
    </row>
    <row r="13" spans="1:14" ht="22.5" customHeight="1" x14ac:dyDescent="0.25">
      <c r="C13" s="10"/>
      <c r="D13" s="10"/>
      <c r="E13" s="10"/>
      <c r="F13" s="10"/>
      <c r="G13" s="10"/>
      <c r="H13" s="10"/>
      <c r="I13" s="10"/>
      <c r="J13" s="10"/>
      <c r="L13" s="10"/>
      <c r="M13" s="10"/>
      <c r="N13" s="10"/>
    </row>
    <row r="14" spans="1:14" ht="22.5" customHeight="1" x14ac:dyDescent="0.25">
      <c r="F14" s="10"/>
      <c r="H14" s="10"/>
      <c r="I14" s="10"/>
      <c r="J14" s="10"/>
      <c r="L14" s="10"/>
    </row>
    <row r="15" spans="1:14" ht="22.5" customHeight="1" x14ac:dyDescent="0.25">
      <c r="D15" s="10"/>
      <c r="H15" s="10"/>
      <c r="I15" s="10"/>
      <c r="J15" s="10"/>
      <c r="L15" s="10"/>
    </row>
    <row r="16" spans="1:14" ht="22.5" customHeight="1" x14ac:dyDescent="0.25">
      <c r="H16" s="10"/>
      <c r="I16" s="10"/>
      <c r="J16" s="23"/>
      <c r="L16" s="10"/>
    </row>
    <row r="17" spans="5:12" ht="22.5" customHeight="1" x14ac:dyDescent="0.25">
      <c r="I17" s="10"/>
      <c r="J17" s="24"/>
      <c r="L17" s="10"/>
    </row>
    <row r="18" spans="5:12" ht="22.5" customHeight="1" x14ac:dyDescent="0.25">
      <c r="H18" s="17"/>
      <c r="I18" s="10"/>
      <c r="J18" s="22"/>
      <c r="K18" s="22"/>
    </row>
    <row r="19" spans="5:12" ht="22.5" customHeight="1" x14ac:dyDescent="0.25">
      <c r="E19" s="10"/>
    </row>
    <row r="20" spans="5:12" ht="22.5" customHeight="1" x14ac:dyDescent="0.25">
      <c r="J20" s="10"/>
      <c r="K20" s="22"/>
    </row>
    <row r="22" spans="5:12" ht="22.5" customHeight="1" x14ac:dyDescent="0.25">
      <c r="J22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N10" sqref="C10: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19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3">
        <v>7016206</v>
      </c>
      <c r="D5" s="3">
        <v>5925223</v>
      </c>
      <c r="E5" s="3">
        <v>6161908</v>
      </c>
      <c r="F5" s="3">
        <v>6022055</v>
      </c>
      <c r="G5" s="3">
        <v>6471645</v>
      </c>
      <c r="H5" s="3">
        <v>6627346</v>
      </c>
      <c r="I5" s="3">
        <v>7045611</v>
      </c>
      <c r="J5" s="3">
        <v>7392539</v>
      </c>
      <c r="K5" s="3">
        <v>5684515</v>
      </c>
      <c r="L5" s="3">
        <v>6090673</v>
      </c>
      <c r="M5" s="3">
        <v>5519927</v>
      </c>
      <c r="N5" s="3">
        <v>5950927</v>
      </c>
    </row>
    <row r="6" spans="1:14" ht="22.5" customHeight="1" x14ac:dyDescent="0.25">
      <c r="A6" s="31"/>
      <c r="B6" s="11" t="s">
        <v>22</v>
      </c>
      <c r="C6" s="3">
        <v>2150995</v>
      </c>
      <c r="D6" s="3">
        <v>1270698</v>
      </c>
      <c r="E6" s="3">
        <v>970937</v>
      </c>
      <c r="F6" s="3">
        <v>1021966</v>
      </c>
      <c r="G6" s="3">
        <v>1132164</v>
      </c>
      <c r="H6" s="3">
        <v>904057</v>
      </c>
      <c r="I6" s="3">
        <v>762762</v>
      </c>
      <c r="J6" s="3">
        <v>918269</v>
      </c>
      <c r="K6" s="3">
        <v>655776</v>
      </c>
      <c r="L6" s="3">
        <v>675466</v>
      </c>
      <c r="M6" s="3">
        <v>980408</v>
      </c>
      <c r="N6" s="3">
        <v>349822</v>
      </c>
    </row>
    <row r="7" spans="1:14" ht="22.5" customHeight="1" x14ac:dyDescent="0.25">
      <c r="A7" s="31"/>
      <c r="B7" s="5" t="s">
        <v>15</v>
      </c>
      <c r="C7" s="3">
        <v>73583</v>
      </c>
      <c r="D7" s="3">
        <v>68551</v>
      </c>
      <c r="E7" s="3">
        <v>67860</v>
      </c>
      <c r="F7" s="3">
        <v>51125</v>
      </c>
      <c r="G7" s="3">
        <v>54671</v>
      </c>
      <c r="H7" s="3">
        <v>44765</v>
      </c>
      <c r="I7" s="3">
        <v>39033</v>
      </c>
      <c r="J7" s="3">
        <v>50515</v>
      </c>
      <c r="K7" s="3">
        <v>45471</v>
      </c>
      <c r="L7" s="3">
        <v>74675</v>
      </c>
      <c r="M7" s="3">
        <v>77271</v>
      </c>
      <c r="N7" s="3">
        <v>75024</v>
      </c>
    </row>
    <row r="8" spans="1:14" ht="22.5" customHeight="1" x14ac:dyDescent="0.25">
      <c r="A8" s="31"/>
      <c r="B8" s="27" t="s">
        <v>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22.5" customHeight="1" x14ac:dyDescent="0.25">
      <c r="A9" s="31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 x14ac:dyDescent="0.25">
      <c r="A10" s="32" t="s">
        <v>16</v>
      </c>
      <c r="B10" s="33"/>
      <c r="C10" s="9">
        <f t="shared" ref="C10:N10" si="0">SUM(C5:C7,C9)</f>
        <v>9240784</v>
      </c>
      <c r="D10" s="9">
        <f t="shared" si="0"/>
        <v>7264472</v>
      </c>
      <c r="E10" s="9">
        <f t="shared" si="0"/>
        <v>7200705</v>
      </c>
      <c r="F10" s="9">
        <f t="shared" si="0"/>
        <v>7095146</v>
      </c>
      <c r="G10" s="9">
        <f t="shared" si="0"/>
        <v>7658480</v>
      </c>
      <c r="H10" s="9">
        <f t="shared" si="0"/>
        <v>7576168</v>
      </c>
      <c r="I10" s="9">
        <f t="shared" si="0"/>
        <v>7847406</v>
      </c>
      <c r="J10" s="9">
        <f t="shared" si="0"/>
        <v>8361323</v>
      </c>
      <c r="K10" s="9">
        <f t="shared" si="0"/>
        <v>6385762</v>
      </c>
      <c r="L10" s="9">
        <f t="shared" si="0"/>
        <v>6840814</v>
      </c>
      <c r="M10" s="9">
        <f t="shared" si="0"/>
        <v>6577606</v>
      </c>
      <c r="N10" s="9">
        <f t="shared" si="0"/>
        <v>6375773</v>
      </c>
    </row>
    <row r="12" spans="1:14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B4:N4"/>
    <mergeCell ref="A10:B10"/>
    <mergeCell ref="A4:A9"/>
    <mergeCell ref="B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19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3">
        <v>5959884</v>
      </c>
      <c r="D5" s="3">
        <v>5032843</v>
      </c>
      <c r="E5" s="3">
        <v>5953522</v>
      </c>
      <c r="F5" s="3">
        <v>5467017</v>
      </c>
      <c r="G5" s="3">
        <v>5891674</v>
      </c>
      <c r="H5" s="3">
        <v>6053575</v>
      </c>
      <c r="I5" s="3">
        <v>6406823</v>
      </c>
      <c r="J5" s="3">
        <v>6200759</v>
      </c>
      <c r="K5" s="3">
        <v>5845973</v>
      </c>
      <c r="L5" s="3">
        <v>6056131</v>
      </c>
      <c r="M5" s="3">
        <v>5591206</v>
      </c>
      <c r="N5" s="3">
        <v>6191966</v>
      </c>
    </row>
    <row r="6" spans="1:14" ht="22.5" customHeight="1" x14ac:dyDescent="0.25">
      <c r="A6" s="31"/>
      <c r="B6" s="11" t="s">
        <v>22</v>
      </c>
      <c r="C6" s="3">
        <v>775148</v>
      </c>
      <c r="D6" s="3">
        <v>792209</v>
      </c>
      <c r="E6" s="3">
        <v>551441</v>
      </c>
      <c r="F6" s="3">
        <v>1401070</v>
      </c>
      <c r="G6" s="3">
        <v>1032284</v>
      </c>
      <c r="H6" s="3">
        <v>1163195</v>
      </c>
      <c r="I6" s="3">
        <v>1243506</v>
      </c>
      <c r="J6" s="3">
        <v>874504</v>
      </c>
      <c r="K6" s="3">
        <v>803451</v>
      </c>
      <c r="L6" s="3">
        <v>2491148</v>
      </c>
      <c r="M6" s="3">
        <v>869814</v>
      </c>
      <c r="N6" s="3">
        <v>1920017</v>
      </c>
    </row>
    <row r="7" spans="1:14" ht="22.5" customHeight="1" x14ac:dyDescent="0.25">
      <c r="A7" s="31"/>
      <c r="B7" s="5" t="s">
        <v>15</v>
      </c>
      <c r="C7" s="3">
        <v>59342</v>
      </c>
      <c r="D7" s="3">
        <v>62894</v>
      </c>
      <c r="E7" s="3">
        <v>49010</v>
      </c>
      <c r="F7" s="3">
        <v>49023</v>
      </c>
      <c r="G7" s="3">
        <v>36988</v>
      </c>
      <c r="H7" s="3">
        <v>40836</v>
      </c>
      <c r="I7" s="3">
        <v>36971</v>
      </c>
      <c r="J7" s="3">
        <v>36516</v>
      </c>
      <c r="K7" s="3">
        <v>41132</v>
      </c>
      <c r="L7" s="3">
        <v>59980</v>
      </c>
      <c r="M7" s="3">
        <v>63167</v>
      </c>
      <c r="N7" s="3">
        <v>66090</v>
      </c>
    </row>
    <row r="8" spans="1:14" ht="22.5" customHeight="1" x14ac:dyDescent="0.25">
      <c r="A8" s="31"/>
      <c r="B8" s="27" t="s">
        <v>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22.5" customHeight="1" x14ac:dyDescent="0.25">
      <c r="A9" s="31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 x14ac:dyDescent="0.25">
      <c r="A10" s="32" t="s">
        <v>16</v>
      </c>
      <c r="B10" s="33"/>
      <c r="C10" s="9">
        <f t="shared" ref="C10:N10" si="0">SUM(C5:C7,C9)</f>
        <v>6794374</v>
      </c>
      <c r="D10" s="9">
        <f t="shared" si="0"/>
        <v>5887946</v>
      </c>
      <c r="E10" s="9">
        <f t="shared" si="0"/>
        <v>6553973</v>
      </c>
      <c r="F10" s="9">
        <f t="shared" si="0"/>
        <v>6917110</v>
      </c>
      <c r="G10" s="9">
        <f t="shared" si="0"/>
        <v>6960946</v>
      </c>
      <c r="H10" s="9">
        <f t="shared" si="0"/>
        <v>7257606</v>
      </c>
      <c r="I10" s="9">
        <f t="shared" si="0"/>
        <v>7687300</v>
      </c>
      <c r="J10" s="9">
        <f t="shared" si="0"/>
        <v>7111779</v>
      </c>
      <c r="K10" s="9">
        <f t="shared" si="0"/>
        <v>6690556</v>
      </c>
      <c r="L10" s="9">
        <f t="shared" si="0"/>
        <v>8607259</v>
      </c>
      <c r="M10" s="9">
        <f t="shared" si="0"/>
        <v>6524187</v>
      </c>
      <c r="N10" s="9">
        <f t="shared" si="0"/>
        <v>8178073</v>
      </c>
    </row>
    <row r="12" spans="1:14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A4:A9"/>
    <mergeCell ref="B4:N4"/>
    <mergeCell ref="B8:N8"/>
    <mergeCell ref="A10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activeCell="N10" sqref="N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25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3">
        <v>5422960</v>
      </c>
      <c r="D5" s="3">
        <v>5662697</v>
      </c>
      <c r="E5" s="3">
        <v>5555846</v>
      </c>
      <c r="F5" s="12">
        <v>5572220</v>
      </c>
      <c r="G5" s="12">
        <v>5978197</v>
      </c>
      <c r="H5" s="12">
        <v>5900234</v>
      </c>
      <c r="I5" s="3">
        <v>6436265</v>
      </c>
      <c r="J5" s="3">
        <v>6507521</v>
      </c>
      <c r="K5" s="3">
        <v>6181458</v>
      </c>
      <c r="L5" s="3">
        <v>6095624</v>
      </c>
      <c r="M5" s="3">
        <v>6100082</v>
      </c>
      <c r="N5" s="3">
        <v>6254660</v>
      </c>
    </row>
    <row r="6" spans="1:14" ht="22.5" customHeight="1" x14ac:dyDescent="0.25">
      <c r="A6" s="31"/>
      <c r="B6" s="13" t="s">
        <v>22</v>
      </c>
      <c r="C6" s="12">
        <v>2039554</v>
      </c>
      <c r="D6" s="12">
        <v>1608332</v>
      </c>
      <c r="E6" s="12">
        <v>1403204</v>
      </c>
      <c r="F6" s="12">
        <v>1985071</v>
      </c>
      <c r="G6" s="12">
        <v>2709817</v>
      </c>
      <c r="H6" s="12">
        <v>1497287</v>
      </c>
      <c r="I6" s="3">
        <v>2360094</v>
      </c>
      <c r="J6" s="3">
        <v>2591057</v>
      </c>
      <c r="K6" s="3">
        <v>2241847</v>
      </c>
      <c r="L6" s="3">
        <v>35429</v>
      </c>
      <c r="M6" s="3">
        <v>368138</v>
      </c>
      <c r="N6" s="3">
        <v>745967</v>
      </c>
    </row>
    <row r="7" spans="1:14" ht="22.5" customHeight="1" x14ac:dyDescent="0.25">
      <c r="A7" s="31"/>
      <c r="B7" s="5" t="s">
        <v>15</v>
      </c>
      <c r="C7" s="3">
        <v>82691</v>
      </c>
      <c r="D7" s="3">
        <v>68196</v>
      </c>
      <c r="E7" s="3">
        <v>68251</v>
      </c>
      <c r="F7" s="12">
        <v>4554</v>
      </c>
      <c r="G7" s="12">
        <v>45994</v>
      </c>
      <c r="H7" s="12">
        <v>37974</v>
      </c>
      <c r="I7" s="3">
        <v>39115</v>
      </c>
      <c r="J7" s="3">
        <v>41880</v>
      </c>
      <c r="K7" s="3">
        <v>42987</v>
      </c>
      <c r="L7" s="3">
        <v>51865</v>
      </c>
      <c r="M7" s="3">
        <v>58409</v>
      </c>
      <c r="N7" s="3">
        <v>59949</v>
      </c>
    </row>
    <row r="8" spans="1:14" ht="22.5" customHeight="1" x14ac:dyDescent="0.25">
      <c r="A8" s="31"/>
      <c r="B8" s="27" t="s">
        <v>18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ht="22.5" customHeight="1" x14ac:dyDescent="0.25">
      <c r="A9" s="31"/>
      <c r="B9" s="4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 x14ac:dyDescent="0.25">
      <c r="A10" s="32" t="s">
        <v>16</v>
      </c>
      <c r="B10" s="33"/>
      <c r="C10" s="9">
        <f t="shared" ref="C10:N10" si="0">SUM(C5:C7,C9)</f>
        <v>7545205</v>
      </c>
      <c r="D10" s="9">
        <f t="shared" si="0"/>
        <v>7339225</v>
      </c>
      <c r="E10" s="9">
        <f t="shared" si="0"/>
        <v>7027301</v>
      </c>
      <c r="F10" s="9">
        <f t="shared" si="0"/>
        <v>7561845</v>
      </c>
      <c r="G10" s="9">
        <f t="shared" si="0"/>
        <v>8734008</v>
      </c>
      <c r="H10" s="9">
        <f t="shared" si="0"/>
        <v>7435495</v>
      </c>
      <c r="I10" s="9">
        <f t="shared" si="0"/>
        <v>8835474</v>
      </c>
      <c r="J10" s="9">
        <f t="shared" si="0"/>
        <v>9140458</v>
      </c>
      <c r="K10" s="9">
        <f t="shared" si="0"/>
        <v>8466292</v>
      </c>
      <c r="L10" s="9">
        <f t="shared" si="0"/>
        <v>6182918</v>
      </c>
      <c r="M10" s="9">
        <f t="shared" si="0"/>
        <v>6526629</v>
      </c>
      <c r="N10" s="9">
        <f t="shared" si="0"/>
        <v>7060576</v>
      </c>
    </row>
    <row r="12" spans="1:14" ht="22.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mergeCells count="5">
    <mergeCell ref="A2:N2"/>
    <mergeCell ref="A4:A9"/>
    <mergeCell ref="B4:N4"/>
    <mergeCell ref="B8:N8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zoomScale="70" zoomScaleNormal="70" workbookViewId="0">
      <selection activeCell="L7" sqref="L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25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14">
        <v>8344164.2560000001</v>
      </c>
      <c r="D5" s="14">
        <v>7458392.7750000004</v>
      </c>
      <c r="E5" s="14">
        <v>7695786.199</v>
      </c>
      <c r="F5" s="15">
        <v>8080410.7410000004</v>
      </c>
      <c r="G5" s="15">
        <v>7284697.9180000005</v>
      </c>
      <c r="H5" s="15">
        <v>6978868.8739999998</v>
      </c>
      <c r="I5" s="14">
        <v>7460293.54</v>
      </c>
      <c r="J5" s="14">
        <v>7311004.7829999998</v>
      </c>
      <c r="K5" s="14">
        <v>7134533.4950000001</v>
      </c>
      <c r="L5" s="14">
        <f>6699831+1439750</f>
        <v>8139581</v>
      </c>
      <c r="M5" s="14">
        <f>6758257+1559062</f>
        <v>8317319</v>
      </c>
      <c r="N5" s="14">
        <f>7079090+1421302</f>
        <v>8500392</v>
      </c>
    </row>
    <row r="6" spans="1:14" ht="22.5" customHeight="1" x14ac:dyDescent="0.25">
      <c r="A6" s="31"/>
      <c r="B6" s="13" t="s">
        <v>22</v>
      </c>
      <c r="C6" s="15">
        <v>1437486</v>
      </c>
      <c r="D6" s="15">
        <v>999565</v>
      </c>
      <c r="E6" s="15">
        <v>638615</v>
      </c>
      <c r="F6" s="15">
        <v>1840977</v>
      </c>
      <c r="G6" s="15">
        <v>2569323</v>
      </c>
      <c r="H6" s="15">
        <v>2453578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ht="22.5" customHeight="1" x14ac:dyDescent="0.25">
      <c r="A7" s="31"/>
      <c r="B7" s="13" t="s">
        <v>27</v>
      </c>
      <c r="C7" s="15">
        <v>536301.19500000007</v>
      </c>
      <c r="D7" s="15">
        <v>527483.99</v>
      </c>
      <c r="E7" s="15">
        <v>515827.36300000001</v>
      </c>
      <c r="F7" s="15">
        <v>281246.69900000002</v>
      </c>
      <c r="G7" s="15">
        <v>206283.40599999999</v>
      </c>
      <c r="H7" s="15">
        <v>221407.7</v>
      </c>
      <c r="I7" s="14">
        <v>222152.08600000001</v>
      </c>
      <c r="J7" s="14">
        <v>314617.18400000001</v>
      </c>
      <c r="K7" s="14">
        <v>335994.42700000003</v>
      </c>
      <c r="L7" s="14">
        <v>346990</v>
      </c>
      <c r="M7" s="14">
        <f>60426+496261</f>
        <v>556687</v>
      </c>
      <c r="N7" s="14">
        <f>67395+609721</f>
        <v>677116</v>
      </c>
    </row>
    <row r="8" spans="1:14" ht="22.5" customHeight="1" x14ac:dyDescent="0.25">
      <c r="A8" s="31"/>
      <c r="B8" s="5" t="s">
        <v>15</v>
      </c>
      <c r="C8" s="14">
        <v>580889</v>
      </c>
      <c r="D8" s="14">
        <v>539001</v>
      </c>
      <c r="E8" s="14">
        <v>491694</v>
      </c>
      <c r="F8" s="15">
        <v>371624</v>
      </c>
      <c r="G8" s="15">
        <v>270506</v>
      </c>
      <c r="H8" s="15">
        <v>226284</v>
      </c>
      <c r="I8" s="14">
        <v>223403</v>
      </c>
      <c r="J8" s="14">
        <v>229010.99999999997</v>
      </c>
      <c r="K8" s="14">
        <v>254511</v>
      </c>
      <c r="L8" s="14">
        <f>51629+360164</f>
        <v>411793</v>
      </c>
      <c r="M8" s="14">
        <v>444282</v>
      </c>
      <c r="N8" s="14">
        <v>440082</v>
      </c>
    </row>
    <row r="9" spans="1:14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31"/>
      <c r="B10" s="4"/>
      <c r="C10" s="14">
        <v>19471</v>
      </c>
      <c r="D10" s="14">
        <v>18002</v>
      </c>
      <c r="E10" s="14">
        <v>14850</v>
      </c>
      <c r="F10" s="14">
        <v>9492</v>
      </c>
      <c r="G10" s="14">
        <v>1548</v>
      </c>
      <c r="H10" s="14">
        <v>1161</v>
      </c>
      <c r="I10" s="14">
        <v>1128</v>
      </c>
      <c r="J10" s="14">
        <v>881</v>
      </c>
      <c r="K10" s="14">
        <v>1119</v>
      </c>
      <c r="L10" s="14">
        <v>11168</v>
      </c>
      <c r="M10" s="14">
        <v>12475</v>
      </c>
      <c r="N10" s="14">
        <v>13612</v>
      </c>
    </row>
    <row r="11" spans="1:14" ht="22.5" customHeight="1" x14ac:dyDescent="0.25">
      <c r="A11" s="32" t="s">
        <v>16</v>
      </c>
      <c r="B11" s="33"/>
      <c r="C11" s="16">
        <f t="shared" ref="C11:N11" si="0">SUM(C5:C8,C10)</f>
        <v>10918311.451000001</v>
      </c>
      <c r="D11" s="16">
        <f t="shared" si="0"/>
        <v>9542444.7650000006</v>
      </c>
      <c r="E11" s="16">
        <f t="shared" si="0"/>
        <v>9356772.5620000008</v>
      </c>
      <c r="F11" s="16">
        <f t="shared" si="0"/>
        <v>10583750.440000001</v>
      </c>
      <c r="G11" s="16">
        <f t="shared" ref="G11" si="1">SUM(G5:G8,G10)</f>
        <v>10332358.324000001</v>
      </c>
      <c r="H11" s="16">
        <f t="shared" si="0"/>
        <v>9881299.5739999991</v>
      </c>
      <c r="I11" s="16">
        <f t="shared" ref="I11:J11" si="2">SUM(I5:I8,I10)</f>
        <v>7906976.6260000002</v>
      </c>
      <c r="J11" s="16">
        <f t="shared" si="2"/>
        <v>7855513.9670000002</v>
      </c>
      <c r="K11" s="16">
        <f t="shared" ref="K11" si="3">SUM(K5:K8,K10)</f>
        <v>7726157.9220000003</v>
      </c>
      <c r="L11" s="16">
        <f t="shared" si="0"/>
        <v>8909532</v>
      </c>
      <c r="M11" s="16">
        <f t="shared" si="0"/>
        <v>9330763</v>
      </c>
      <c r="N11" s="16">
        <f t="shared" si="0"/>
        <v>9631202</v>
      </c>
    </row>
    <row r="13" spans="1:14" ht="22.5" customHeigh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 x14ac:dyDescent="0.25">
      <c r="F14" s="10"/>
      <c r="H14" s="10"/>
      <c r="I14" s="10"/>
      <c r="J14" s="10"/>
      <c r="L14" s="10"/>
    </row>
    <row r="15" spans="1:14" ht="22.5" customHeight="1" x14ac:dyDescent="0.25">
      <c r="H15" s="10"/>
      <c r="I15" s="10"/>
      <c r="J15" s="10"/>
      <c r="L15" s="10"/>
    </row>
    <row r="16" spans="1:14" ht="22.5" customHeight="1" x14ac:dyDescent="0.25">
      <c r="H16" s="10"/>
      <c r="I16" s="10"/>
      <c r="J16" s="10"/>
      <c r="L16" s="10"/>
    </row>
    <row r="17" spans="5:12" ht="22.5" customHeight="1" x14ac:dyDescent="0.25">
      <c r="I17" s="10"/>
      <c r="J17" s="10"/>
      <c r="L17" s="10"/>
    </row>
    <row r="18" spans="5:12" ht="22.5" customHeight="1" x14ac:dyDescent="0.25">
      <c r="H18" s="17"/>
      <c r="I18" s="10"/>
    </row>
    <row r="19" spans="5:12" ht="22.5" customHeight="1" x14ac:dyDescent="0.25">
      <c r="E19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opLeftCell="B1" zoomScale="87" zoomScaleNormal="87" workbookViewId="0">
      <selection activeCell="L16" sqref="L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30" t="s">
        <v>25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22.5" customHeight="1" x14ac:dyDescent="0.25">
      <c r="A5" s="31"/>
      <c r="B5" s="5" t="s">
        <v>14</v>
      </c>
      <c r="C5" s="14">
        <v>9308040</v>
      </c>
      <c r="D5" s="14">
        <f>6707982+1796708</f>
        <v>8504690</v>
      </c>
      <c r="E5" s="14">
        <f>7445521+2044558</f>
        <v>9490079</v>
      </c>
      <c r="F5" s="15">
        <f>6401220+1083190</f>
        <v>7484410</v>
      </c>
      <c r="G5" s="15">
        <f>7027119+798377</f>
        <v>7825496</v>
      </c>
      <c r="H5" s="15">
        <f>5904672+766542</f>
        <v>6671214</v>
      </c>
      <c r="I5" s="15">
        <f>6372633+918110</f>
        <v>7290743</v>
      </c>
      <c r="J5" s="15">
        <f>6313112+825033</f>
        <v>7138145</v>
      </c>
      <c r="K5" s="15">
        <f>6119258+732154</f>
        <v>6851412</v>
      </c>
      <c r="L5" s="15">
        <f>6023006+1348703</f>
        <v>7371709</v>
      </c>
      <c r="M5" s="15">
        <f>6396270+1640391</f>
        <v>8036661</v>
      </c>
      <c r="N5" s="14">
        <f>6410482+1621820</f>
        <v>8032302</v>
      </c>
    </row>
    <row r="6" spans="1:14" ht="22.5" customHeight="1" x14ac:dyDescent="0.25">
      <c r="A6" s="31"/>
      <c r="B6" s="13" t="s">
        <v>22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4">
        <v>0</v>
      </c>
    </row>
    <row r="7" spans="1:14" ht="22.5" customHeight="1" x14ac:dyDescent="0.25">
      <c r="A7" s="31"/>
      <c r="B7" s="13" t="s">
        <v>27</v>
      </c>
      <c r="C7" s="15">
        <v>580014</v>
      </c>
      <c r="D7" s="15">
        <f>532228</f>
        <v>532228</v>
      </c>
      <c r="E7" s="15">
        <f>600872</f>
        <v>600872</v>
      </c>
      <c r="F7" s="15">
        <v>223130</v>
      </c>
      <c r="G7" s="15">
        <f>179415</f>
        <v>179415</v>
      </c>
      <c r="H7" s="15">
        <v>114639</v>
      </c>
      <c r="I7" s="15">
        <v>231817</v>
      </c>
      <c r="J7" s="15">
        <v>126198</v>
      </c>
      <c r="K7" s="15">
        <f>171045</f>
        <v>171045</v>
      </c>
      <c r="L7" s="15">
        <f>184624</f>
        <v>184624</v>
      </c>
      <c r="M7" s="15">
        <f>649141</f>
        <v>649141</v>
      </c>
      <c r="N7" s="14">
        <f>409723</f>
        <v>409723</v>
      </c>
    </row>
    <row r="8" spans="1:14" ht="22.5" customHeight="1" x14ac:dyDescent="0.25">
      <c r="A8" s="31"/>
      <c r="B8" s="5" t="s">
        <v>15</v>
      </c>
      <c r="C8" s="14">
        <v>518806</v>
      </c>
      <c r="D8" s="14">
        <f>498790+71204</f>
        <v>569994</v>
      </c>
      <c r="E8" s="14">
        <f>490576+55289</f>
        <v>545865</v>
      </c>
      <c r="F8" s="15">
        <f>47304+332566</f>
        <v>379870</v>
      </c>
      <c r="G8" s="15">
        <f>32080+237960</f>
        <v>270040</v>
      </c>
      <c r="H8" s="15">
        <f>26177+210156</f>
        <v>236333</v>
      </c>
      <c r="I8" s="15">
        <f>29028+346594</f>
        <v>375622</v>
      </c>
      <c r="J8" s="15">
        <f>22486+210714</f>
        <v>233200</v>
      </c>
      <c r="K8" s="15">
        <f>194810+25835</f>
        <v>220645</v>
      </c>
      <c r="L8" s="15">
        <f>302949+56023</f>
        <v>358972</v>
      </c>
      <c r="M8" s="15">
        <f>416881+61365</f>
        <v>478246</v>
      </c>
      <c r="N8" s="14">
        <f>450058+56745</f>
        <v>506803</v>
      </c>
    </row>
    <row r="9" spans="1:14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ht="22.5" customHeight="1" x14ac:dyDescent="0.25">
      <c r="A10" s="31"/>
      <c r="B10" s="4"/>
      <c r="C10" s="14">
        <v>13818</v>
      </c>
      <c r="D10" s="14">
        <v>14765</v>
      </c>
      <c r="E10" s="14">
        <v>15068</v>
      </c>
      <c r="F10" s="14">
        <v>7446</v>
      </c>
      <c r="G10" s="14">
        <v>778</v>
      </c>
      <c r="H10" s="14">
        <v>727</v>
      </c>
      <c r="I10" s="14">
        <v>856</v>
      </c>
      <c r="J10" s="14">
        <v>777</v>
      </c>
      <c r="K10" s="14">
        <v>799</v>
      </c>
      <c r="L10" s="14">
        <v>4013</v>
      </c>
      <c r="M10" s="14">
        <v>0</v>
      </c>
      <c r="N10" s="14">
        <v>28163</v>
      </c>
    </row>
    <row r="11" spans="1:14" ht="22.5" customHeight="1" x14ac:dyDescent="0.25">
      <c r="A11" s="32" t="s">
        <v>16</v>
      </c>
      <c r="B11" s="33"/>
      <c r="C11" s="16">
        <f t="shared" ref="C11:M11" si="0">SUM(C5:C8,C10)</f>
        <v>10420678</v>
      </c>
      <c r="D11" s="16">
        <f t="shared" si="0"/>
        <v>9621677</v>
      </c>
      <c r="E11" s="16">
        <f t="shared" si="0"/>
        <v>10651884</v>
      </c>
      <c r="F11" s="16">
        <f t="shared" si="0"/>
        <v>8094856</v>
      </c>
      <c r="G11" s="16">
        <f t="shared" si="0"/>
        <v>8275729</v>
      </c>
      <c r="H11" s="16">
        <f t="shared" si="0"/>
        <v>7022913</v>
      </c>
      <c r="I11" s="16">
        <f t="shared" si="0"/>
        <v>7899038</v>
      </c>
      <c r="J11" s="16">
        <f t="shared" si="0"/>
        <v>7498320</v>
      </c>
      <c r="K11" s="16">
        <f t="shared" si="0"/>
        <v>7243901</v>
      </c>
      <c r="L11" s="16">
        <f t="shared" si="0"/>
        <v>7919318</v>
      </c>
      <c r="M11" s="16">
        <f t="shared" si="0"/>
        <v>9164048</v>
      </c>
      <c r="N11" s="16">
        <f>SUM(N5:N8,N10)</f>
        <v>8976991</v>
      </c>
    </row>
    <row r="13" spans="1:14" ht="22.5" customHeigh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 x14ac:dyDescent="0.25">
      <c r="F14" s="10"/>
      <c r="H14" s="10"/>
      <c r="I14" s="10"/>
      <c r="J14" s="10"/>
      <c r="L14" s="10"/>
    </row>
    <row r="15" spans="1:14" ht="22.5" customHeight="1" x14ac:dyDescent="0.25">
      <c r="D15" s="10"/>
      <c r="H15" s="10"/>
      <c r="I15" s="10"/>
      <c r="J15" s="10"/>
      <c r="L15" s="10"/>
    </row>
    <row r="16" spans="1:14" ht="22.5" customHeight="1" x14ac:dyDescent="0.25">
      <c r="H16" s="10"/>
      <c r="I16" s="10"/>
      <c r="J16" s="10"/>
      <c r="L16" s="10"/>
    </row>
    <row r="17" spans="5:12" ht="22.5" customHeight="1" x14ac:dyDescent="0.25">
      <c r="I17" s="10"/>
      <c r="J17" s="10"/>
      <c r="L17" s="10"/>
    </row>
    <row r="18" spans="5:12" ht="22.5" customHeight="1" x14ac:dyDescent="0.25">
      <c r="H18" s="17"/>
      <c r="I18" s="10"/>
    </row>
    <row r="19" spans="5:12" ht="22.5" customHeight="1" x14ac:dyDescent="0.25">
      <c r="E19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opLeftCell="C1" zoomScale="75" zoomScaleNormal="75" workbookViewId="0">
      <selection activeCell="L16" sqref="L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9" customWidth="1"/>
    <col min="16" max="16" width="9.140625" style="1"/>
    <col min="17" max="17" width="14.42578125" style="19" bestFit="1" customWidth="1"/>
    <col min="18" max="16384" width="9.140625" style="1"/>
  </cols>
  <sheetData>
    <row r="2" spans="1:17" ht="42.7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20"/>
      <c r="Q3" s="20"/>
    </row>
    <row r="4" spans="1:17" ht="22.5" customHeight="1" x14ac:dyDescent="0.25">
      <c r="A4" s="30" t="s">
        <v>25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7" ht="22.5" customHeight="1" x14ac:dyDescent="0.25">
      <c r="A5" s="31"/>
      <c r="B5" s="5" t="s">
        <v>14</v>
      </c>
      <c r="C5" s="14">
        <f>6632985+1592161</f>
        <v>8225146</v>
      </c>
      <c r="D5" s="14">
        <f>6174713+1177814</f>
        <v>7352527</v>
      </c>
      <c r="E5" s="14">
        <f>6772869+1362433</f>
        <v>8135302</v>
      </c>
      <c r="F5" s="14">
        <f>6653188+608073</f>
        <v>7261261</v>
      </c>
      <c r="G5" s="14">
        <f>6836203+660929</f>
        <v>7497132</v>
      </c>
      <c r="H5" s="15">
        <f>6558013+625479</f>
        <v>7183492</v>
      </c>
      <c r="I5" s="15">
        <f>6816881+629310</f>
        <v>7446191</v>
      </c>
      <c r="J5" s="15">
        <f>6894773+646080</f>
        <v>7540853</v>
      </c>
      <c r="K5" s="15">
        <f>6698851+675802.92</f>
        <v>7374653.9199999999</v>
      </c>
      <c r="L5" s="15">
        <f>6517177+925327</f>
        <v>7442504</v>
      </c>
      <c r="M5" s="15">
        <f>5697371+1108958</f>
        <v>6806329</v>
      </c>
      <c r="N5" s="14">
        <f>5456718+1325025</f>
        <v>6781743</v>
      </c>
      <c r="O5" s="19">
        <f>N5/M5</f>
        <v>0.99638777379112886</v>
      </c>
      <c r="Q5" s="18">
        <f>AVERAGE(C5:N5)</f>
        <v>7420594.4933333332</v>
      </c>
    </row>
    <row r="6" spans="1:17" ht="22.5" customHeight="1" x14ac:dyDescent="0.25">
      <c r="A6" s="31"/>
      <c r="B6" s="13" t="s">
        <v>22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4">
        <v>0</v>
      </c>
      <c r="Q6" s="18">
        <f>AVERAGE(C6:O6)</f>
        <v>0</v>
      </c>
    </row>
    <row r="7" spans="1:17" ht="22.5" customHeight="1" x14ac:dyDescent="0.25">
      <c r="A7" s="31"/>
      <c r="B7" s="13" t="s">
        <v>27</v>
      </c>
      <c r="C7" s="15">
        <f>424590</f>
        <v>424590</v>
      </c>
      <c r="D7" s="15">
        <v>385006</v>
      </c>
      <c r="E7" s="15">
        <v>651556</v>
      </c>
      <c r="F7" s="15">
        <v>492720</v>
      </c>
      <c r="G7" s="15">
        <v>310515</v>
      </c>
      <c r="H7" s="15">
        <v>322216</v>
      </c>
      <c r="I7" s="15">
        <v>317095</v>
      </c>
      <c r="J7" s="15">
        <v>324910</v>
      </c>
      <c r="K7" s="15">
        <v>496810.23999999999</v>
      </c>
      <c r="L7" s="15">
        <v>551844</v>
      </c>
      <c r="M7" s="15">
        <v>744565</v>
      </c>
      <c r="N7" s="14">
        <f>45001+766856</f>
        <v>811857</v>
      </c>
      <c r="O7" s="19">
        <f t="shared" ref="O7:O8" si="0">N7/M7</f>
        <v>1.090377603029957</v>
      </c>
      <c r="Q7" s="18">
        <f t="shared" ref="Q7:Q10" si="1">AVERAGE(C7:N7)</f>
        <v>486140.35333333333</v>
      </c>
    </row>
    <row r="8" spans="1:17" ht="22.5" customHeight="1" x14ac:dyDescent="0.25">
      <c r="A8" s="31"/>
      <c r="B8" s="5" t="s">
        <v>15</v>
      </c>
      <c r="C8" s="14">
        <f>485631+60664</f>
        <v>546295</v>
      </c>
      <c r="D8" s="14">
        <f>46323+406301</f>
        <v>452624</v>
      </c>
      <c r="E8" s="14">
        <f>43651+382880</f>
        <v>426531</v>
      </c>
      <c r="F8" s="14">
        <f>38953+303539</f>
        <v>342492</v>
      </c>
      <c r="G8" s="14">
        <f>30993+225238</f>
        <v>256231</v>
      </c>
      <c r="H8" s="15">
        <f>25091+172714</f>
        <v>197805</v>
      </c>
      <c r="I8" s="15">
        <f>27079+188409</f>
        <v>215488</v>
      </c>
      <c r="J8" s="15">
        <f>25754+178563</f>
        <v>204317</v>
      </c>
      <c r="K8" s="15">
        <f>30580+314850</f>
        <v>345430</v>
      </c>
      <c r="L8" s="15">
        <f>44551+304217</f>
        <v>348768</v>
      </c>
      <c r="M8" s="15">
        <f>50172+349047</f>
        <v>399219</v>
      </c>
      <c r="N8" s="14">
        <v>377870</v>
      </c>
      <c r="O8" s="19">
        <f t="shared" si="0"/>
        <v>0.94652308632605164</v>
      </c>
      <c r="Q8" s="18">
        <f t="shared" si="1"/>
        <v>342755.83333333331</v>
      </c>
    </row>
    <row r="9" spans="1:17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Q9" s="18"/>
    </row>
    <row r="10" spans="1:17" ht="22.5" customHeight="1" x14ac:dyDescent="0.25">
      <c r="A10" s="31"/>
      <c r="B10" s="4"/>
      <c r="C10" s="14">
        <v>18337</v>
      </c>
      <c r="D10" s="14">
        <v>15493</v>
      </c>
      <c r="E10" s="14">
        <v>14373</v>
      </c>
      <c r="F10" s="14">
        <v>11591</v>
      </c>
      <c r="G10" s="14">
        <v>900</v>
      </c>
      <c r="H10" s="14">
        <v>692</v>
      </c>
      <c r="I10" s="14">
        <v>951</v>
      </c>
      <c r="J10" s="14">
        <v>910</v>
      </c>
      <c r="K10" s="14">
        <v>601</v>
      </c>
      <c r="L10" s="14">
        <v>10634</v>
      </c>
      <c r="M10" s="14">
        <v>11369</v>
      </c>
      <c r="N10" s="14">
        <v>14741</v>
      </c>
      <c r="O10" s="19">
        <f>N10/M10</f>
        <v>1.2965960066848448</v>
      </c>
      <c r="Q10" s="18">
        <f t="shared" si="1"/>
        <v>8382.6666666666661</v>
      </c>
    </row>
    <row r="11" spans="1:17" ht="22.5" customHeight="1" x14ac:dyDescent="0.25">
      <c r="A11" s="32" t="s">
        <v>16</v>
      </c>
      <c r="B11" s="33"/>
      <c r="C11" s="16">
        <f t="shared" ref="C11:M11" si="2">SUM(C5:C8,C10)</f>
        <v>9214368</v>
      </c>
      <c r="D11" s="16">
        <f t="shared" si="2"/>
        <v>8205650</v>
      </c>
      <c r="E11" s="16">
        <f t="shared" si="2"/>
        <v>9227762</v>
      </c>
      <c r="F11" s="16">
        <f t="shared" si="2"/>
        <v>8108064</v>
      </c>
      <c r="G11" s="16">
        <f t="shared" si="2"/>
        <v>8064778</v>
      </c>
      <c r="H11" s="16">
        <f t="shared" si="2"/>
        <v>7704205</v>
      </c>
      <c r="I11" s="16">
        <f t="shared" si="2"/>
        <v>7979725</v>
      </c>
      <c r="J11" s="16">
        <f t="shared" si="2"/>
        <v>8070990</v>
      </c>
      <c r="K11" s="9">
        <f t="shared" si="2"/>
        <v>8217495.1600000001</v>
      </c>
      <c r="L11" s="16">
        <f t="shared" si="2"/>
        <v>8353750</v>
      </c>
      <c r="M11" s="16">
        <f t="shared" si="2"/>
        <v>7961482</v>
      </c>
      <c r="N11" s="16">
        <f>SUM(N5:N8,N10)</f>
        <v>7986211</v>
      </c>
    </row>
    <row r="13" spans="1:17" ht="22.5" customHeigh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7" ht="22.5" customHeight="1" x14ac:dyDescent="0.25">
      <c r="F14" s="10"/>
      <c r="H14" s="10"/>
      <c r="I14" s="10"/>
      <c r="J14" s="10"/>
      <c r="L14" s="10"/>
    </row>
    <row r="15" spans="1:17" ht="22.5" customHeight="1" x14ac:dyDescent="0.25">
      <c r="D15" s="10"/>
      <c r="H15" s="10"/>
      <c r="I15" s="10"/>
      <c r="J15" s="10"/>
      <c r="L15" s="10"/>
    </row>
    <row r="16" spans="1:17" ht="22.5" customHeight="1" x14ac:dyDescent="0.25">
      <c r="H16" s="10"/>
      <c r="I16" s="10"/>
      <c r="J16" s="10"/>
      <c r="L16" s="10"/>
    </row>
    <row r="17" spans="5:12" ht="22.5" customHeight="1" x14ac:dyDescent="0.25">
      <c r="I17" s="10"/>
      <c r="J17" s="10"/>
      <c r="L17" s="10"/>
    </row>
    <row r="18" spans="5:12" ht="22.5" customHeight="1" x14ac:dyDescent="0.25">
      <c r="H18" s="17"/>
      <c r="I18" s="10"/>
    </row>
    <row r="19" spans="5:12" ht="22.5" customHeight="1" x14ac:dyDescent="0.25">
      <c r="E19" s="10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9"/>
  <sheetViews>
    <sheetView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140625" style="1" customWidth="1"/>
    <col min="23" max="23" width="9.140625" style="19"/>
    <col min="24" max="16384" width="9.140625" style="1"/>
  </cols>
  <sheetData>
    <row r="2" spans="1:23" ht="42.75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20"/>
    </row>
    <row r="4" spans="1:23" ht="22.5" customHeight="1" x14ac:dyDescent="0.25">
      <c r="A4" s="30" t="s">
        <v>25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</row>
    <row r="5" spans="1:23" ht="22.5" customHeight="1" x14ac:dyDescent="0.25">
      <c r="A5" s="31"/>
      <c r="B5" s="5" t="s">
        <v>14</v>
      </c>
      <c r="C5" s="14">
        <f>6079455+1219040</f>
        <v>7298495</v>
      </c>
      <c r="D5" s="14">
        <f>5513931+1067342</f>
        <v>6581273</v>
      </c>
      <c r="E5" s="14">
        <f>6660617+1035297</f>
        <v>7695914</v>
      </c>
      <c r="F5" s="3">
        <f>6402853+928949</f>
        <v>7331802</v>
      </c>
      <c r="G5" s="3">
        <v>1.0324834763548645</v>
      </c>
      <c r="H5" s="3">
        <f>6853986+667744</f>
        <v>7521730</v>
      </c>
      <c r="I5" s="3">
        <v>0.95816533575772711</v>
      </c>
      <c r="J5" s="12">
        <f>5897033+580135</f>
        <v>6477168</v>
      </c>
      <c r="K5" s="12">
        <v>1.0365698186898518</v>
      </c>
      <c r="L5" s="12">
        <f>6536665+481586</f>
        <v>7018251</v>
      </c>
      <c r="M5" s="12">
        <v>1.0127128084681147</v>
      </c>
      <c r="N5" s="12">
        <f>6316802+549284</f>
        <v>6866086</v>
      </c>
      <c r="O5" s="12">
        <v>0.97796017506242328</v>
      </c>
      <c r="P5" s="12">
        <f>5398167+585481</f>
        <v>5983648</v>
      </c>
      <c r="Q5" s="12">
        <v>1.0092004425883623</v>
      </c>
      <c r="R5" s="12">
        <f>6734452+805551</f>
        <v>7540003</v>
      </c>
      <c r="S5" s="12">
        <v>0.91452137613899842</v>
      </c>
      <c r="T5" s="12">
        <f>5700774+999551</f>
        <v>6700325</v>
      </c>
      <c r="U5" s="12">
        <v>0.99638777379112886</v>
      </c>
      <c r="V5" s="3">
        <f>5367368+1502959</f>
        <v>6870327</v>
      </c>
      <c r="W5" s="19">
        <f>'2021'!C5/'2020'!V5</f>
        <v>1.0837508898775852</v>
      </c>
    </row>
    <row r="6" spans="1:23" ht="22.5" customHeight="1" x14ac:dyDescent="0.25">
      <c r="A6" s="31"/>
      <c r="B6" s="13" t="s">
        <v>22</v>
      </c>
      <c r="C6" s="15">
        <v>0</v>
      </c>
      <c r="D6" s="15">
        <v>0</v>
      </c>
      <c r="E6" s="15">
        <v>0</v>
      </c>
      <c r="F6" s="12">
        <v>0</v>
      </c>
      <c r="G6" s="12">
        <v>0</v>
      </c>
      <c r="H6" s="3">
        <f t="shared" ref="H6" si="0">F6*G6</f>
        <v>0</v>
      </c>
      <c r="I6" s="3">
        <v>0</v>
      </c>
      <c r="J6" s="12">
        <f t="shared" ref="J6" si="1">H6*I6</f>
        <v>0</v>
      </c>
      <c r="K6" s="12">
        <v>0</v>
      </c>
      <c r="L6" s="12">
        <f t="shared" ref="L6" si="2">J6*K6</f>
        <v>0</v>
      </c>
      <c r="M6" s="12">
        <v>0</v>
      </c>
      <c r="N6" s="12">
        <f t="shared" ref="N6" si="3">L6*M6</f>
        <v>0</v>
      </c>
      <c r="O6" s="12"/>
      <c r="P6" s="12"/>
      <c r="Q6" s="12"/>
      <c r="R6" s="12"/>
      <c r="S6" s="12"/>
      <c r="T6" s="12"/>
      <c r="U6" s="12"/>
      <c r="V6" s="3"/>
    </row>
    <row r="7" spans="1:23" ht="22.5" customHeight="1" x14ac:dyDescent="0.25">
      <c r="A7" s="31"/>
      <c r="B7" s="13" t="s">
        <v>27</v>
      </c>
      <c r="C7" s="15">
        <v>838860</v>
      </c>
      <c r="D7" s="15">
        <v>788253</v>
      </c>
      <c r="E7" s="15">
        <v>746773</v>
      </c>
      <c r="F7" s="12">
        <v>441764</v>
      </c>
      <c r="G7" s="12">
        <v>0.63020579639551877</v>
      </c>
      <c r="H7" s="3">
        <v>367307</v>
      </c>
      <c r="I7" s="3">
        <v>1.037682559618698</v>
      </c>
      <c r="J7" s="12">
        <v>246111</v>
      </c>
      <c r="K7" s="12">
        <v>0.98410693447873476</v>
      </c>
      <c r="L7" s="12">
        <v>323398</v>
      </c>
      <c r="M7" s="12">
        <v>1.0246456109367854</v>
      </c>
      <c r="N7" s="12">
        <v>254076</v>
      </c>
      <c r="O7" s="12">
        <v>1.5290703271675232</v>
      </c>
      <c r="P7" s="12">
        <v>300750</v>
      </c>
      <c r="Q7" s="12">
        <v>1.1107742062643475</v>
      </c>
      <c r="R7" s="12">
        <v>465563</v>
      </c>
      <c r="S7" s="12">
        <v>1.3492309420778337</v>
      </c>
      <c r="T7" s="12">
        <v>815782</v>
      </c>
      <c r="U7" s="12">
        <v>1.090377603029957</v>
      </c>
      <c r="V7" s="3">
        <f>50101+725640</f>
        <v>775741</v>
      </c>
      <c r="W7" s="19">
        <f>'2021'!C7/'2020'!V7</f>
        <v>0.80256683609606816</v>
      </c>
    </row>
    <row r="8" spans="1:23" ht="22.5" customHeight="1" x14ac:dyDescent="0.25">
      <c r="A8" s="31"/>
      <c r="B8" s="5" t="s">
        <v>15</v>
      </c>
      <c r="C8" s="14">
        <f>40629+425600</f>
        <v>466229</v>
      </c>
      <c r="D8" s="14">
        <f>38069+421020</f>
        <v>459089</v>
      </c>
      <c r="E8" s="14">
        <f>38613+330873</f>
        <v>369486</v>
      </c>
      <c r="F8" s="3">
        <f>28504+321444</f>
        <v>349948</v>
      </c>
      <c r="G8" s="3">
        <v>0.7481371827663128</v>
      </c>
      <c r="H8" s="3">
        <f>27067+218491</f>
        <v>245558</v>
      </c>
      <c r="I8" s="3">
        <v>0.7719791906521849</v>
      </c>
      <c r="J8" s="12">
        <f>20260+195263</f>
        <v>215523</v>
      </c>
      <c r="K8" s="12">
        <v>1.0893961224438209</v>
      </c>
      <c r="L8" s="12">
        <f>22630+181597</f>
        <v>204227</v>
      </c>
      <c r="M8" s="12">
        <v>0.94815952628452627</v>
      </c>
      <c r="N8" s="12">
        <f>19390+184473</f>
        <v>203863</v>
      </c>
      <c r="O8" s="12">
        <v>1.6906571650914999</v>
      </c>
      <c r="P8" s="12">
        <f>24548+210674</f>
        <v>235222</v>
      </c>
      <c r="Q8" s="12">
        <v>1.009663318183134</v>
      </c>
      <c r="R8" s="12">
        <f>33418+262406</f>
        <v>295824</v>
      </c>
      <c r="S8" s="12">
        <v>1.1446548995320671</v>
      </c>
      <c r="T8" s="12">
        <f>42811+324714</f>
        <v>367525</v>
      </c>
      <c r="U8" s="12">
        <v>0.94652308632605164</v>
      </c>
      <c r="V8" s="3">
        <v>460029</v>
      </c>
      <c r="W8" s="19">
        <f>'2021'!C8/'2020'!V8</f>
        <v>1.0503685637209828</v>
      </c>
    </row>
    <row r="9" spans="1:23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</row>
    <row r="10" spans="1:23" ht="22.5" customHeight="1" x14ac:dyDescent="0.25">
      <c r="A10" s="31"/>
      <c r="B10" s="4"/>
      <c r="C10" s="14">
        <v>16379</v>
      </c>
      <c r="D10" s="14">
        <v>16044</v>
      </c>
      <c r="E10" s="14">
        <v>14549</v>
      </c>
      <c r="F10" s="3">
        <v>13478</v>
      </c>
      <c r="G10" s="3">
        <v>7.7646449831766023E-2</v>
      </c>
      <c r="H10" s="3">
        <v>322</v>
      </c>
      <c r="I10" s="3">
        <v>0.76888888888888884</v>
      </c>
      <c r="J10" s="12">
        <v>308</v>
      </c>
      <c r="K10" s="12">
        <v>1.3742774566473988</v>
      </c>
      <c r="L10" s="12">
        <v>315</v>
      </c>
      <c r="M10" s="12">
        <v>0.95688748685594116</v>
      </c>
      <c r="N10" s="12">
        <v>271</v>
      </c>
      <c r="O10" s="12">
        <v>0.66043956043956042</v>
      </c>
      <c r="P10" s="12">
        <v>349</v>
      </c>
      <c r="Q10" s="12">
        <v>17.693843594009984</v>
      </c>
      <c r="R10" s="12">
        <v>6626</v>
      </c>
      <c r="S10" s="12">
        <v>1.069117923641151</v>
      </c>
      <c r="T10" s="12">
        <v>12323</v>
      </c>
      <c r="U10" s="12">
        <v>1.2965960066848448</v>
      </c>
      <c r="V10" s="12">
        <v>19443</v>
      </c>
      <c r="W10" s="19">
        <f>'2021'!C10/'2020'!V10</f>
        <v>0.90310137324486961</v>
      </c>
    </row>
    <row r="11" spans="1:23" ht="22.5" customHeight="1" x14ac:dyDescent="0.25">
      <c r="A11" s="32" t="s">
        <v>16</v>
      </c>
      <c r="B11" s="33"/>
      <c r="C11" s="16">
        <f t="shared" ref="C11:T11" si="4">SUM(C5:C8,C10)</f>
        <v>8619963</v>
      </c>
      <c r="D11" s="16">
        <f t="shared" si="4"/>
        <v>7844659</v>
      </c>
      <c r="E11" s="16">
        <f t="shared" si="4"/>
        <v>8826722</v>
      </c>
      <c r="F11" s="9">
        <f t="shared" si="4"/>
        <v>8136992</v>
      </c>
      <c r="G11" s="9"/>
      <c r="H11" s="9">
        <f t="shared" si="4"/>
        <v>8134917</v>
      </c>
      <c r="I11" s="9"/>
      <c r="J11" s="9">
        <f>ROUND(SUM(J5:J8,J10),0)</f>
        <v>6939110</v>
      </c>
      <c r="K11" s="9"/>
      <c r="L11" s="9">
        <f>ROUND(SUM(L5:L8,L10),0)</f>
        <v>7546191</v>
      </c>
      <c r="M11" s="9">
        <f t="shared" ref="M11:N11" si="5">ROUND(SUM(M5:M8,M10),0)</f>
        <v>4</v>
      </c>
      <c r="N11" s="9">
        <f t="shared" si="5"/>
        <v>7324296</v>
      </c>
      <c r="O11" s="9"/>
      <c r="P11" s="9">
        <f t="shared" si="4"/>
        <v>6519969</v>
      </c>
      <c r="Q11" s="16"/>
      <c r="R11" s="9">
        <f t="shared" si="4"/>
        <v>8308016</v>
      </c>
      <c r="S11" s="9"/>
      <c r="T11" s="9">
        <f t="shared" si="4"/>
        <v>7895955</v>
      </c>
      <c r="U11" s="9"/>
      <c r="V11" s="9">
        <f>SUM(V5:V8,V10)</f>
        <v>8125540</v>
      </c>
    </row>
    <row r="13" spans="1:23" ht="22.5" customHeigh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2.5" customHeight="1" x14ac:dyDescent="0.25">
      <c r="F14" s="10"/>
      <c r="G14" s="10"/>
      <c r="J14" s="10"/>
      <c r="K14" s="10"/>
      <c r="L14" s="10"/>
      <c r="M14" s="10"/>
      <c r="N14" s="10"/>
      <c r="O14" s="10"/>
      <c r="R14" s="10"/>
      <c r="S14" s="10"/>
    </row>
    <row r="15" spans="1:23" ht="22.5" customHeight="1" x14ac:dyDescent="0.25">
      <c r="D15" s="10"/>
      <c r="J15" s="10"/>
      <c r="K15" s="10"/>
      <c r="L15" s="10"/>
      <c r="M15" s="10"/>
      <c r="N15" s="10"/>
      <c r="O15" s="10"/>
      <c r="R15" s="10"/>
      <c r="S15" s="10"/>
    </row>
    <row r="16" spans="1:23" ht="22.5" customHeight="1" x14ac:dyDescent="0.25">
      <c r="J16" s="10"/>
      <c r="K16" s="10"/>
      <c r="L16" s="10"/>
      <c r="M16" s="10"/>
      <c r="N16" s="10"/>
      <c r="O16" s="10"/>
      <c r="R16" s="10"/>
      <c r="S16" s="10"/>
    </row>
    <row r="17" spans="5:19" ht="22.5" customHeight="1" x14ac:dyDescent="0.25">
      <c r="L17" s="10"/>
      <c r="M17" s="10"/>
      <c r="N17" s="10"/>
      <c r="O17" s="10"/>
      <c r="R17" s="10"/>
      <c r="S17" s="10"/>
    </row>
    <row r="18" spans="5:19" ht="22.5" customHeight="1" x14ac:dyDescent="0.25">
      <c r="J18" s="17"/>
      <c r="K18" s="17"/>
      <c r="L18" s="10"/>
      <c r="M18" s="10"/>
    </row>
    <row r="19" spans="5:19" ht="22.5" customHeight="1" x14ac:dyDescent="0.25">
      <c r="E19" s="10"/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9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140625" style="1" customWidth="1"/>
    <col min="34" max="34" width="9.140625" style="19"/>
    <col min="35" max="16384" width="9.140625" style="1"/>
  </cols>
  <sheetData>
    <row r="2" spans="1:34" ht="42.75" customHeight="1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20"/>
    </row>
    <row r="4" spans="1:34" ht="22.5" customHeight="1" x14ac:dyDescent="0.25">
      <c r="A4" s="30" t="s">
        <v>32</v>
      </c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9"/>
    </row>
    <row r="5" spans="1:34" ht="22.5" customHeight="1" x14ac:dyDescent="0.25">
      <c r="A5" s="31"/>
      <c r="B5" s="5" t="s">
        <v>14</v>
      </c>
      <c r="C5" s="14">
        <f>5594330+1851393</f>
        <v>7445723</v>
      </c>
      <c r="D5" s="14">
        <v>0.90173015121610689</v>
      </c>
      <c r="E5" s="3">
        <f>4819643+1643480</f>
        <v>6463123</v>
      </c>
      <c r="F5" s="3">
        <v>1.1693655619513124</v>
      </c>
      <c r="G5" s="3">
        <f>5632557+1524864</f>
        <v>7157421</v>
      </c>
      <c r="H5" s="3">
        <v>0.95268762098952764</v>
      </c>
      <c r="I5" s="3">
        <f>5664789+1042019</f>
        <v>6706808</v>
      </c>
      <c r="J5" s="3"/>
      <c r="K5" s="3">
        <v>1.0259046820958886</v>
      </c>
      <c r="L5" s="3">
        <f>6605743+952595</f>
        <v>7558338</v>
      </c>
      <c r="M5" s="3"/>
      <c r="N5" s="3">
        <v>0.86112742680207877</v>
      </c>
      <c r="O5" s="12">
        <f>6552329+847489</f>
        <v>7399818</v>
      </c>
      <c r="P5" s="12"/>
      <c r="Q5" s="12">
        <v>1.0835369717135637</v>
      </c>
      <c r="R5" s="12">
        <f>7073459+902113</f>
        <v>7975572</v>
      </c>
      <c r="S5" s="12"/>
      <c r="T5" s="12">
        <v>0.97831867227319169</v>
      </c>
      <c r="U5" s="12">
        <f>6228610+1049109</f>
        <v>7277719</v>
      </c>
      <c r="V5" s="12"/>
      <c r="W5" s="12">
        <v>0.87147874349374588</v>
      </c>
      <c r="X5" s="12">
        <f>5623632+942213</f>
        <v>6565845</v>
      </c>
      <c r="Y5" s="12"/>
      <c r="Z5" s="12">
        <v>1.260101362914396</v>
      </c>
      <c r="AA5" s="12">
        <f>6135841+1396334</f>
        <v>7532175</v>
      </c>
      <c r="AB5" s="12"/>
      <c r="AC5" s="12">
        <v>0.88863691433544523</v>
      </c>
      <c r="AD5" s="12">
        <f>6315101+1422407</f>
        <v>7737508</v>
      </c>
      <c r="AE5" s="12"/>
      <c r="AF5" s="12">
        <v>1.0253722020946745</v>
      </c>
      <c r="AG5" s="3">
        <f>6494334+1801953</f>
        <v>8296287</v>
      </c>
      <c r="AH5" s="19">
        <f>'2022'!D5/'2021'!AG5</f>
        <v>0.99611295993014703</v>
      </c>
    </row>
    <row r="6" spans="1:34" ht="22.5" customHeight="1" x14ac:dyDescent="0.25">
      <c r="A6" s="31"/>
      <c r="B6" s="13" t="s">
        <v>22</v>
      </c>
      <c r="C6" s="15"/>
      <c r="D6" s="15"/>
      <c r="E6" s="12"/>
      <c r="F6" s="12"/>
      <c r="G6" s="12"/>
      <c r="H6" s="12"/>
      <c r="I6" s="12"/>
      <c r="J6" s="12"/>
      <c r="K6" s="12"/>
      <c r="L6" s="3"/>
      <c r="M6" s="3"/>
      <c r="N6" s="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3"/>
    </row>
    <row r="7" spans="1:34" ht="22.5" customHeight="1" x14ac:dyDescent="0.25">
      <c r="A7" s="31"/>
      <c r="B7" s="13" t="s">
        <v>27</v>
      </c>
      <c r="C7" s="15">
        <v>622584</v>
      </c>
      <c r="D7" s="15">
        <v>0.93967169730348332</v>
      </c>
      <c r="E7" s="12">
        <v>755587</v>
      </c>
      <c r="F7" s="12">
        <v>0.94737730145016896</v>
      </c>
      <c r="G7" s="12">
        <v>668606</v>
      </c>
      <c r="H7" s="12">
        <v>0.59156396923830934</v>
      </c>
      <c r="I7" s="12">
        <v>506678</v>
      </c>
      <c r="J7" s="12"/>
      <c r="K7" s="12">
        <v>0.83145525665287345</v>
      </c>
      <c r="L7" s="3">
        <f>173337</f>
        <v>173337</v>
      </c>
      <c r="M7" s="3"/>
      <c r="N7" s="3">
        <v>0.67004168175395518</v>
      </c>
      <c r="O7" s="12">
        <v>146907</v>
      </c>
      <c r="P7" s="12"/>
      <c r="Q7" s="12">
        <v>1.314033098886275</v>
      </c>
      <c r="R7" s="12">
        <v>256395</v>
      </c>
      <c r="S7" s="12"/>
      <c r="T7" s="12">
        <v>0.78564493286909631</v>
      </c>
      <c r="U7" s="12">
        <v>319558</v>
      </c>
      <c r="V7" s="12"/>
      <c r="W7" s="12">
        <v>1.1837009398762575</v>
      </c>
      <c r="X7" s="12">
        <v>347526</v>
      </c>
      <c r="Y7" s="12"/>
      <c r="Z7" s="12">
        <v>1.5480066500415628</v>
      </c>
      <c r="AA7" s="12">
        <v>449446</v>
      </c>
      <c r="AB7" s="12"/>
      <c r="AC7" s="12">
        <v>1.7522483530692945</v>
      </c>
      <c r="AD7" s="12">
        <v>726366</v>
      </c>
      <c r="AE7" s="12"/>
      <c r="AF7" s="12">
        <v>0.95091703420766827</v>
      </c>
      <c r="AG7" s="3">
        <v>704400</v>
      </c>
      <c r="AH7" s="19">
        <f>'2022'!D7/'2021'!AG7</f>
        <v>1.0792248722316866</v>
      </c>
    </row>
    <row r="8" spans="1:34" ht="22.5" customHeight="1" x14ac:dyDescent="0.25">
      <c r="A8" s="31"/>
      <c r="B8" s="5" t="s">
        <v>15</v>
      </c>
      <c r="C8" s="14">
        <f>43729+439471</f>
        <v>483200</v>
      </c>
      <c r="D8" s="14">
        <v>0.98468563731556813</v>
      </c>
      <c r="E8" s="3">
        <f>54601+467525</f>
        <v>522126</v>
      </c>
      <c r="F8" s="3">
        <v>0.80482433689328214</v>
      </c>
      <c r="G8" s="3">
        <f>53358+428274</f>
        <v>481632</v>
      </c>
      <c r="H8" s="3">
        <v>0.94712113584817825</v>
      </c>
      <c r="I8" s="3">
        <f>42026+318949</f>
        <v>360975</v>
      </c>
      <c r="J8" s="3"/>
      <c r="K8" s="3">
        <v>0.70169853806851301</v>
      </c>
      <c r="L8" s="3">
        <v>242548</v>
      </c>
      <c r="M8" s="3"/>
      <c r="N8" s="3">
        <v>0.87768673796007457</v>
      </c>
      <c r="O8" s="12">
        <f>29764+202564</f>
        <v>232328</v>
      </c>
      <c r="P8" s="12"/>
      <c r="Q8" s="12">
        <v>0.94758796044969673</v>
      </c>
      <c r="R8" s="12">
        <f>17407+72976</f>
        <v>90383</v>
      </c>
      <c r="S8" s="12"/>
      <c r="T8" s="12">
        <v>0.99821766955397673</v>
      </c>
      <c r="U8" s="12">
        <f>23385+157191</f>
        <v>180576</v>
      </c>
      <c r="V8" s="12"/>
      <c r="W8" s="12">
        <v>1.1538238915350014</v>
      </c>
      <c r="X8" s="12">
        <f>32537+190284</f>
        <v>222821</v>
      </c>
      <c r="Y8" s="12"/>
      <c r="Z8" s="12">
        <v>1.2576374658832932</v>
      </c>
      <c r="AA8" s="12">
        <f>38327+267548</f>
        <v>305875</v>
      </c>
      <c r="AB8" s="12"/>
      <c r="AC8" s="12">
        <v>1.2423772242955271</v>
      </c>
      <c r="AD8" s="12">
        <f>23974+347823</f>
        <v>371797</v>
      </c>
      <c r="AE8" s="12"/>
      <c r="AF8" s="12">
        <v>1.2516944425549283</v>
      </c>
      <c r="AG8" s="3">
        <f>48566+383754</f>
        <v>432320</v>
      </c>
      <c r="AH8" s="19">
        <f>'2022'!D8/'2021'!AG8</f>
        <v>1.1825476498889711</v>
      </c>
    </row>
    <row r="9" spans="1:34" ht="22.5" customHeight="1" x14ac:dyDescent="0.25">
      <c r="A9" s="31"/>
      <c r="B9" s="27" t="s">
        <v>18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</row>
    <row r="10" spans="1:34" ht="22.5" customHeight="1" x14ac:dyDescent="0.25">
      <c r="A10" s="31"/>
      <c r="B10" s="4"/>
      <c r="C10" s="14">
        <v>17559</v>
      </c>
      <c r="D10" s="14">
        <v>0.97954698089016423</v>
      </c>
      <c r="E10" s="3">
        <v>16081</v>
      </c>
      <c r="F10" s="3">
        <v>0.90681874844178512</v>
      </c>
      <c r="G10" s="3">
        <v>16460</v>
      </c>
      <c r="H10" s="3">
        <v>0.92638669324352185</v>
      </c>
      <c r="I10" s="3">
        <v>6145</v>
      </c>
      <c r="J10" s="3"/>
      <c r="K10" s="3">
        <v>2.3890784982935155E-2</v>
      </c>
      <c r="L10" s="3">
        <v>139</v>
      </c>
      <c r="M10" s="3"/>
      <c r="N10" s="3">
        <v>0.95652173913043481</v>
      </c>
      <c r="O10" s="12">
        <v>69</v>
      </c>
      <c r="P10" s="12"/>
      <c r="Q10" s="12">
        <v>1.0227272727272727</v>
      </c>
      <c r="R10" s="12">
        <v>98</v>
      </c>
      <c r="S10" s="12"/>
      <c r="T10" s="12">
        <v>0.86031746031746037</v>
      </c>
      <c r="U10" s="12">
        <v>130</v>
      </c>
      <c r="V10" s="12"/>
      <c r="W10" s="12">
        <v>1.2878228782287824</v>
      </c>
      <c r="X10" s="12">
        <v>0</v>
      </c>
      <c r="Y10" s="12"/>
      <c r="Z10" s="12">
        <v>18.98567335243553</v>
      </c>
      <c r="AA10" s="12">
        <v>0</v>
      </c>
      <c r="AB10" s="12"/>
      <c r="AC10" s="12">
        <v>1.8597947479625716</v>
      </c>
      <c r="AD10" s="12">
        <f>AC10*AA10</f>
        <v>0</v>
      </c>
      <c r="AE10" s="12"/>
      <c r="AF10" s="12">
        <v>1.5777813844031485</v>
      </c>
      <c r="AG10" s="12">
        <f>AD10*AF10</f>
        <v>0</v>
      </c>
      <c r="AH10" s="19" t="e">
        <f>'2022'!D10/'2021'!AG10</f>
        <v>#DIV/0!</v>
      </c>
    </row>
    <row r="11" spans="1:34" ht="22.5" customHeight="1" x14ac:dyDescent="0.25">
      <c r="A11" s="32" t="s">
        <v>16</v>
      </c>
      <c r="B11" s="33"/>
      <c r="C11" s="9">
        <f t="shared" ref="C11:AD11" si="0">SUM(C5:C8,C10)</f>
        <v>8569066</v>
      </c>
      <c r="D11" s="9"/>
      <c r="E11" s="9">
        <f t="shared" si="0"/>
        <v>7756917</v>
      </c>
      <c r="F11" s="9"/>
      <c r="G11" s="9">
        <f t="shared" si="0"/>
        <v>8324119</v>
      </c>
      <c r="H11" s="9"/>
      <c r="I11" s="9">
        <f t="shared" si="0"/>
        <v>7580606</v>
      </c>
      <c r="J11" s="9"/>
      <c r="K11" s="9"/>
      <c r="L11" s="9">
        <f t="shared" si="0"/>
        <v>7974362</v>
      </c>
      <c r="M11" s="9"/>
      <c r="N11" s="9"/>
      <c r="O11" s="9">
        <f>ROUND(SUM(O5:O8,O10),0)</f>
        <v>7779122</v>
      </c>
      <c r="P11" s="9"/>
      <c r="Q11" s="9"/>
      <c r="R11" s="9">
        <f>ROUND(SUM(R5:R8,R10),0)</f>
        <v>8322448</v>
      </c>
      <c r="S11" s="9">
        <f t="shared" ref="S11:U11" si="1">ROUND(SUM(S5:S8,S10),0)</f>
        <v>0</v>
      </c>
      <c r="T11" s="9"/>
      <c r="U11" s="9">
        <f t="shared" si="1"/>
        <v>7777983</v>
      </c>
      <c r="V11" s="9"/>
      <c r="W11" s="9"/>
      <c r="X11" s="9">
        <f t="shared" si="0"/>
        <v>7136192</v>
      </c>
      <c r="Y11" s="16"/>
      <c r="Z11" s="16"/>
      <c r="AA11" s="9">
        <f t="shared" si="0"/>
        <v>8287496</v>
      </c>
      <c r="AB11" s="9"/>
      <c r="AC11" s="9"/>
      <c r="AD11" s="9">
        <f t="shared" si="0"/>
        <v>8835671</v>
      </c>
      <c r="AE11" s="9"/>
      <c r="AF11" s="9"/>
      <c r="AG11" s="9">
        <f>SUM(AG5:AG8,AG10)</f>
        <v>9433007</v>
      </c>
    </row>
    <row r="13" spans="1:34" ht="22.5" customHeight="1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4" ht="22.5" customHeight="1" x14ac:dyDescent="0.25">
      <c r="I14" s="10"/>
      <c r="J14" s="10"/>
      <c r="K14" s="10"/>
      <c r="O14" s="10"/>
      <c r="P14" s="10"/>
      <c r="Q14" s="10"/>
      <c r="R14" s="10"/>
      <c r="S14" s="10"/>
      <c r="T14" s="10"/>
      <c r="U14" s="10"/>
      <c r="V14" s="10"/>
      <c r="W14" s="10"/>
      <c r="AA14" s="10"/>
      <c r="AB14" s="10"/>
      <c r="AC14" s="10"/>
    </row>
    <row r="15" spans="1:34" ht="22.5" customHeight="1" x14ac:dyDescent="0.25">
      <c r="E15" s="10"/>
      <c r="F15" s="10"/>
      <c r="O15" s="10"/>
      <c r="P15" s="10"/>
      <c r="Q15" s="10"/>
      <c r="R15" s="10"/>
      <c r="S15" s="10"/>
      <c r="T15" s="10"/>
      <c r="U15" s="10"/>
      <c r="V15" s="10"/>
      <c r="W15" s="10"/>
      <c r="AA15" s="10"/>
      <c r="AB15" s="10"/>
      <c r="AC15" s="10"/>
    </row>
    <row r="16" spans="1:34" ht="22.5" customHeight="1" x14ac:dyDescent="0.25">
      <c r="O16" s="10"/>
      <c r="P16" s="10"/>
      <c r="Q16" s="10"/>
      <c r="R16" s="10"/>
      <c r="S16" s="10"/>
      <c r="T16" s="10"/>
      <c r="U16" s="10"/>
      <c r="V16" s="10"/>
      <c r="W16" s="10"/>
      <c r="AA16" s="10"/>
      <c r="AB16" s="10"/>
      <c r="AC16" s="10"/>
    </row>
    <row r="17" spans="7:29" ht="22.5" customHeight="1" x14ac:dyDescent="0.25">
      <c r="R17" s="10"/>
      <c r="S17" s="10"/>
      <c r="T17" s="10"/>
      <c r="U17" s="10"/>
      <c r="V17" s="10"/>
      <c r="W17" s="10"/>
      <c r="AA17" s="10"/>
      <c r="AB17" s="10"/>
      <c r="AC17" s="10"/>
    </row>
    <row r="18" spans="7:29" ht="22.5" customHeight="1" x14ac:dyDescent="0.25">
      <c r="O18" s="17"/>
      <c r="P18" s="17"/>
      <c r="Q18" s="17"/>
      <c r="R18" s="10"/>
      <c r="S18" s="10"/>
      <c r="T18" s="10"/>
    </row>
    <row r="19" spans="7:29" ht="22.5" customHeight="1" x14ac:dyDescent="0.25">
      <c r="G19" s="10"/>
      <c r="H19" s="10"/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Пашетных Лилия Сергеевна</cp:lastModifiedBy>
  <dcterms:created xsi:type="dcterms:W3CDTF">2013-11-13T16:10:49Z</dcterms:created>
  <dcterms:modified xsi:type="dcterms:W3CDTF">2024-04-23T07:44:27Z</dcterms:modified>
</cp:coreProperties>
</file>