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3545" yWindow="405" windowWidth="11460" windowHeight="11805" firstSheet="6" activeTab="9"/>
  </bookViews>
  <sheets>
    <sheet name="2015 " sheetId="7" state="hidden" r:id="rId1"/>
    <sheet name="2016" sheetId="8" state="hidden" r:id="rId2"/>
    <sheet name="2017" sheetId="9" state="hidden" r:id="rId3"/>
    <sheet name="2018" sheetId="10" state="hidden" r:id="rId4"/>
    <sheet name="2019" sheetId="11" state="hidden" r:id="rId5"/>
    <sheet name="2020" sheetId="12" state="hidden" r:id="rId6"/>
    <sheet name="2021" sheetId="13" r:id="rId7"/>
    <sheet name="2022" sheetId="14" r:id="rId8"/>
    <sheet name="2023" sheetId="15" r:id="rId9"/>
    <sheet name="2024" sheetId="16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N26" i="16" l="1"/>
  <c r="M26" i="16"/>
  <c r="L26" i="16"/>
  <c r="K26" i="16"/>
  <c r="J26" i="16"/>
  <c r="I26" i="16"/>
  <c r="H26" i="16"/>
  <c r="G26" i="16"/>
  <c r="F26" i="16"/>
  <c r="E26" i="16"/>
  <c r="D26" i="16"/>
  <c r="C26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C19" i="15" l="1"/>
  <c r="AH32" i="13"/>
  <c r="AH30" i="13"/>
  <c r="AH25" i="13"/>
  <c r="AH23" i="13"/>
  <c r="AH22" i="13"/>
  <c r="AH18" i="13"/>
  <c r="AH16" i="13"/>
  <c r="AH15" i="13"/>
  <c r="AH14" i="13"/>
  <c r="AH11" i="13"/>
  <c r="AH9" i="13"/>
  <c r="AH8" i="13"/>
  <c r="AH6" i="13"/>
  <c r="N26" i="15"/>
  <c r="M26" i="15"/>
  <c r="L26" i="15"/>
  <c r="K26" i="15"/>
  <c r="J26" i="15"/>
  <c r="I26" i="15"/>
  <c r="H26" i="15"/>
  <c r="G26" i="15"/>
  <c r="F26" i="15"/>
  <c r="E26" i="15"/>
  <c r="D26" i="15"/>
  <c r="C26" i="15"/>
  <c r="N19" i="15"/>
  <c r="M19" i="15"/>
  <c r="L19" i="15"/>
  <c r="K19" i="15"/>
  <c r="J19" i="15"/>
  <c r="I19" i="15"/>
  <c r="H19" i="15"/>
  <c r="G19" i="15"/>
  <c r="F19" i="15"/>
  <c r="E19" i="15"/>
  <c r="D19" i="15"/>
  <c r="N12" i="15"/>
  <c r="M12" i="15"/>
  <c r="L12" i="15"/>
  <c r="K12" i="15"/>
  <c r="J12" i="15"/>
  <c r="I12" i="15"/>
  <c r="H12" i="15"/>
  <c r="G12" i="15"/>
  <c r="E12" i="15"/>
  <c r="D12" i="15"/>
  <c r="C12" i="15"/>
  <c r="F12" i="15"/>
  <c r="M11" i="14" l="1"/>
  <c r="D16" i="14" l="1"/>
  <c r="D15" i="14"/>
  <c r="D14" i="14"/>
  <c r="C16" i="14" l="1"/>
  <c r="C15" i="14"/>
  <c r="C14" i="14"/>
  <c r="D26" i="14"/>
  <c r="D12" i="14"/>
  <c r="W32" i="12"/>
  <c r="W30" i="12"/>
  <c r="W25" i="12"/>
  <c r="W23" i="12"/>
  <c r="W22" i="12"/>
  <c r="W11" i="12"/>
  <c r="W9" i="12"/>
  <c r="W8" i="12"/>
  <c r="W6" i="12"/>
  <c r="AS33" i="14"/>
  <c r="AO33" i="14"/>
  <c r="AK33" i="14"/>
  <c r="AG33" i="14"/>
  <c r="AC33" i="14"/>
  <c r="Y33" i="14"/>
  <c r="U33" i="14"/>
  <c r="Q33" i="14"/>
  <c r="M33" i="14"/>
  <c r="J33" i="14"/>
  <c r="G33" i="14"/>
  <c r="D33" i="14"/>
  <c r="AS26" i="14"/>
  <c r="AO26" i="14"/>
  <c r="AK26" i="14"/>
  <c r="AG26" i="14"/>
  <c r="AC26" i="14"/>
  <c r="Y26" i="14"/>
  <c r="U26" i="14"/>
  <c r="Q26" i="14"/>
  <c r="M26" i="14"/>
  <c r="J26" i="14"/>
  <c r="G26" i="14"/>
  <c r="AS19" i="14"/>
  <c r="AO19" i="14"/>
  <c r="AK19" i="14"/>
  <c r="AG19" i="14"/>
  <c r="AC19" i="14"/>
  <c r="Y19" i="14"/>
  <c r="U19" i="14"/>
  <c r="Q19" i="14"/>
  <c r="M19" i="14"/>
  <c r="J19" i="14"/>
  <c r="G19" i="14"/>
  <c r="D19" i="14"/>
  <c r="AS12" i="14"/>
  <c r="AO12" i="14"/>
  <c r="AK12" i="14"/>
  <c r="AG12" i="14"/>
  <c r="AC12" i="14"/>
  <c r="Y12" i="14"/>
  <c r="U12" i="14"/>
  <c r="Q12" i="14"/>
  <c r="M12" i="14"/>
  <c r="J12" i="14"/>
  <c r="G12" i="14"/>
  <c r="AF18" i="13" l="1"/>
  <c r="AF16" i="13"/>
  <c r="AF15" i="13"/>
  <c r="AF14" i="13"/>
  <c r="AF25" i="13"/>
  <c r="AC18" i="13"/>
  <c r="AC16" i="13"/>
  <c r="AC15" i="13"/>
  <c r="AC14" i="13"/>
  <c r="Z15" i="13"/>
  <c r="Z16" i="13"/>
  <c r="Z14" i="13"/>
  <c r="W18" i="13"/>
  <c r="W16" i="13"/>
  <c r="W15" i="13"/>
  <c r="W14" i="13"/>
  <c r="T18" i="13"/>
  <c r="T16" i="13"/>
  <c r="T15" i="13"/>
  <c r="T14" i="13"/>
  <c r="Q18" i="13"/>
  <c r="Q15" i="13"/>
  <c r="Q16" i="13"/>
  <c r="Q14" i="13"/>
  <c r="P15" i="11"/>
  <c r="P16" i="11"/>
  <c r="P17" i="11"/>
  <c r="P18" i="11"/>
  <c r="P14" i="11"/>
  <c r="K18" i="13"/>
  <c r="K16" i="13"/>
  <c r="K15" i="13"/>
  <c r="K14" i="13"/>
  <c r="H18" i="13"/>
  <c r="H16" i="13"/>
  <c r="H15" i="13"/>
  <c r="H14" i="13"/>
  <c r="F18" i="13"/>
  <c r="F16" i="13"/>
  <c r="F15" i="13"/>
  <c r="F14" i="13"/>
  <c r="AA33" i="13"/>
  <c r="X33" i="13"/>
  <c r="U33" i="13"/>
  <c r="R33" i="13"/>
  <c r="O33" i="13"/>
  <c r="L33" i="13"/>
  <c r="I33" i="13"/>
  <c r="G33" i="13"/>
  <c r="E33" i="13"/>
  <c r="C33" i="13"/>
  <c r="AG33" i="13"/>
  <c r="AG26" i="13"/>
  <c r="AD26" i="13"/>
  <c r="AA26" i="13"/>
  <c r="X26" i="13"/>
  <c r="U26" i="13"/>
  <c r="R26" i="13"/>
  <c r="O26" i="13"/>
  <c r="L26" i="13"/>
  <c r="I26" i="13"/>
  <c r="G26" i="13"/>
  <c r="E26" i="13"/>
  <c r="C26" i="13"/>
  <c r="AG19" i="13"/>
  <c r="AD19" i="13"/>
  <c r="AA19" i="13"/>
  <c r="U19" i="13"/>
  <c r="R19" i="13"/>
  <c r="L19" i="13"/>
  <c r="I19" i="13"/>
  <c r="G19" i="13"/>
  <c r="E19" i="13"/>
  <c r="C19" i="13"/>
  <c r="X19" i="13"/>
  <c r="O19" i="13"/>
  <c r="AG12" i="13"/>
  <c r="AD12" i="13"/>
  <c r="AA12" i="13"/>
  <c r="X12" i="13"/>
  <c r="U12" i="13"/>
  <c r="R12" i="13"/>
  <c r="O12" i="13"/>
  <c r="L12" i="13"/>
  <c r="I12" i="13"/>
  <c r="G12" i="13"/>
  <c r="E12" i="13"/>
  <c r="C12" i="13"/>
  <c r="AD33" i="13"/>
  <c r="V32" i="12"/>
  <c r="U9" i="12"/>
  <c r="O32" i="11"/>
  <c r="O30" i="11"/>
  <c r="O25" i="11"/>
  <c r="O23" i="11"/>
  <c r="O22" i="11"/>
  <c r="O18" i="11"/>
  <c r="O16" i="11"/>
  <c r="O15" i="11"/>
  <c r="O14" i="11"/>
  <c r="O11" i="11"/>
  <c r="O8" i="11"/>
  <c r="O6" i="11"/>
  <c r="T32" i="12"/>
  <c r="Q9" i="12"/>
  <c r="P16" i="12"/>
  <c r="P15" i="12"/>
  <c r="P14" i="12"/>
  <c r="O9" i="12"/>
  <c r="K9" i="12"/>
  <c r="J16" i="12"/>
  <c r="J15" i="12"/>
  <c r="J14" i="12"/>
  <c r="I9" i="12"/>
  <c r="Q8" i="11"/>
  <c r="Q11" i="11"/>
  <c r="Q22" i="11"/>
  <c r="Q23" i="11"/>
  <c r="Q25" i="11"/>
  <c r="Q30" i="11"/>
  <c r="Q32" i="11"/>
  <c r="Q6" i="11"/>
  <c r="V33" i="12"/>
  <c r="T33" i="12"/>
  <c r="R33" i="12"/>
  <c r="P33" i="12"/>
  <c r="N33" i="12"/>
  <c r="L33" i="12"/>
  <c r="J33" i="12"/>
  <c r="H33" i="12"/>
  <c r="F33" i="12"/>
  <c r="E33" i="12"/>
  <c r="D33" i="12"/>
  <c r="C33" i="12"/>
  <c r="V26" i="12"/>
  <c r="T26" i="12"/>
  <c r="R26" i="12"/>
  <c r="P26" i="12"/>
  <c r="N26" i="12"/>
  <c r="L26" i="12"/>
  <c r="J26" i="12"/>
  <c r="H26" i="12"/>
  <c r="F26" i="12"/>
  <c r="E26" i="12"/>
  <c r="D26" i="12"/>
  <c r="C26" i="12"/>
  <c r="V19" i="12"/>
  <c r="T19" i="12"/>
  <c r="R19" i="12"/>
  <c r="P19" i="12"/>
  <c r="N19" i="12"/>
  <c r="L19" i="12"/>
  <c r="H19" i="12"/>
  <c r="F19" i="12"/>
  <c r="E19" i="12"/>
  <c r="D19" i="12"/>
  <c r="C19" i="12"/>
  <c r="V12" i="12"/>
  <c r="T12" i="12"/>
  <c r="R12" i="12"/>
  <c r="P12" i="12"/>
  <c r="N12" i="12"/>
  <c r="L12" i="12"/>
  <c r="J12" i="12"/>
  <c r="H12" i="12"/>
  <c r="F12" i="12"/>
  <c r="E12" i="12"/>
  <c r="D12" i="12"/>
  <c r="C12" i="12"/>
  <c r="J19" i="12"/>
  <c r="N33" i="11"/>
  <c r="M33" i="11"/>
  <c r="L33" i="11"/>
  <c r="K33" i="11"/>
  <c r="J33" i="11"/>
  <c r="I33" i="11"/>
  <c r="H33" i="11"/>
  <c r="G33" i="11"/>
  <c r="F33" i="11"/>
  <c r="E33" i="11"/>
  <c r="D33" i="11"/>
  <c r="C33" i="11"/>
  <c r="N26" i="11"/>
  <c r="M26" i="11"/>
  <c r="L26" i="11"/>
  <c r="K26" i="11"/>
  <c r="J26" i="11"/>
  <c r="I26" i="11"/>
  <c r="G26" i="11"/>
  <c r="F26" i="11"/>
  <c r="E26" i="11"/>
  <c r="C26" i="11"/>
  <c r="H26" i="11"/>
  <c r="D26" i="11"/>
  <c r="N19" i="11"/>
  <c r="M19" i="11"/>
  <c r="L19" i="11"/>
  <c r="K19" i="11"/>
  <c r="J19" i="11"/>
  <c r="I19" i="11"/>
  <c r="H19" i="11"/>
  <c r="G19" i="11"/>
  <c r="E19" i="11"/>
  <c r="D19" i="11"/>
  <c r="F19" i="11"/>
  <c r="C19" i="11"/>
  <c r="N12" i="11"/>
  <c r="M12" i="11"/>
  <c r="L12" i="11"/>
  <c r="K12" i="11"/>
  <c r="J12" i="11"/>
  <c r="I12" i="11"/>
  <c r="H12" i="11"/>
  <c r="G12" i="11"/>
  <c r="F12" i="11"/>
  <c r="D12" i="11"/>
  <c r="C12" i="11"/>
  <c r="E12" i="11"/>
  <c r="N33" i="10"/>
  <c r="M33" i="10"/>
  <c r="L33" i="10"/>
  <c r="K33" i="10"/>
  <c r="J33" i="10"/>
  <c r="I33" i="10"/>
  <c r="G33" i="10"/>
  <c r="F33" i="10"/>
  <c r="E33" i="10"/>
  <c r="C33" i="10"/>
  <c r="H33" i="10"/>
  <c r="D33" i="10"/>
  <c r="I25" i="10"/>
  <c r="I22" i="10"/>
  <c r="H22" i="10"/>
  <c r="H25" i="10"/>
  <c r="G22" i="10"/>
  <c r="G25" i="10"/>
  <c r="F22" i="10"/>
  <c r="F25" i="10"/>
  <c r="F18" i="10"/>
  <c r="E11" i="10"/>
  <c r="E8" i="10"/>
  <c r="E25" i="10"/>
  <c r="E22" i="10"/>
  <c r="E15" i="10"/>
  <c r="E18" i="10"/>
  <c r="D25" i="10"/>
  <c r="D23" i="10"/>
  <c r="D22" i="10"/>
  <c r="D18" i="10"/>
  <c r="D15" i="10"/>
  <c r="D11" i="10"/>
  <c r="D8" i="10"/>
  <c r="L6" i="9"/>
  <c r="K6" i="9"/>
  <c r="J6" i="9"/>
  <c r="I6" i="9"/>
  <c r="C22" i="10"/>
  <c r="C25" i="10"/>
  <c r="C8" i="10"/>
  <c r="C11" i="10"/>
  <c r="C18" i="10"/>
  <c r="C15" i="10"/>
  <c r="N26" i="10"/>
  <c r="M26" i="10"/>
  <c r="K26" i="10"/>
  <c r="J26" i="10"/>
  <c r="I26" i="10"/>
  <c r="G26" i="10"/>
  <c r="F26" i="10"/>
  <c r="E26" i="10"/>
  <c r="C26" i="10"/>
  <c r="L26" i="10"/>
  <c r="H26" i="10"/>
  <c r="D26" i="10"/>
  <c r="N19" i="10"/>
  <c r="M19" i="10"/>
  <c r="L19" i="10"/>
  <c r="I19" i="10"/>
  <c r="H19" i="10"/>
  <c r="F19" i="10"/>
  <c r="E19" i="10"/>
  <c r="D19" i="10"/>
  <c r="J19" i="10"/>
  <c r="K19" i="10"/>
  <c r="G19" i="10"/>
  <c r="C19" i="10"/>
  <c r="J12" i="10"/>
  <c r="I12" i="10"/>
  <c r="H12" i="10"/>
  <c r="E12" i="10"/>
  <c r="D12" i="10"/>
  <c r="N12" i="10"/>
  <c r="M12" i="10"/>
  <c r="L12" i="10"/>
  <c r="K12" i="10"/>
  <c r="G12" i="10"/>
  <c r="F12" i="10"/>
  <c r="C12" i="10"/>
  <c r="N22" i="9"/>
  <c r="N25" i="9"/>
  <c r="N18" i="9"/>
  <c r="N15" i="9"/>
  <c r="N11" i="9"/>
  <c r="N8" i="9"/>
  <c r="N26" i="9"/>
  <c r="M18" i="9"/>
  <c r="M15" i="9"/>
  <c r="M8" i="9"/>
  <c r="M11" i="9"/>
  <c r="M23" i="9"/>
  <c r="M22" i="9"/>
  <c r="M25" i="9"/>
  <c r="L18" i="9"/>
  <c r="L15" i="9"/>
  <c r="L8" i="9"/>
  <c r="L11" i="9"/>
  <c r="L22" i="9"/>
  <c r="L25" i="9"/>
  <c r="K18" i="9"/>
  <c r="K15" i="9"/>
  <c r="K11" i="9"/>
  <c r="K8" i="9"/>
  <c r="K25" i="9"/>
  <c r="K22" i="9"/>
  <c r="K26" i="9"/>
  <c r="K19" i="9"/>
  <c r="K12" i="9"/>
  <c r="J8" i="9"/>
  <c r="I8" i="9"/>
  <c r="J14" i="9"/>
  <c r="J18" i="9"/>
  <c r="J15" i="9"/>
  <c r="J16" i="9"/>
  <c r="J22" i="9"/>
  <c r="J25" i="9"/>
  <c r="J26" i="9"/>
  <c r="J19" i="9"/>
  <c r="J12" i="9"/>
  <c r="C18" i="9"/>
  <c r="C16" i="9"/>
  <c r="D18" i="9"/>
  <c r="D16" i="9"/>
  <c r="E18" i="9"/>
  <c r="E16" i="9"/>
  <c r="F18" i="9"/>
  <c r="F16" i="9"/>
  <c r="G18" i="9"/>
  <c r="G16" i="9"/>
  <c r="H18" i="9"/>
  <c r="H16" i="9"/>
  <c r="I18" i="9"/>
  <c r="I15" i="9"/>
  <c r="I11" i="9"/>
  <c r="I22" i="9"/>
  <c r="I25" i="9"/>
  <c r="I26" i="9"/>
  <c r="I19" i="9"/>
  <c r="I12" i="9"/>
  <c r="H8" i="9"/>
  <c r="H11" i="9"/>
  <c r="H5" i="9"/>
  <c r="H23" i="9"/>
  <c r="H22" i="9"/>
  <c r="H25" i="9"/>
  <c r="H15" i="9"/>
  <c r="H12" i="9"/>
  <c r="F11" i="9"/>
  <c r="F8" i="9"/>
  <c r="F5" i="9"/>
  <c r="D11" i="9"/>
  <c r="D5" i="9"/>
  <c r="D8" i="9"/>
  <c r="E5" i="9"/>
  <c r="E8" i="9"/>
  <c r="E11" i="9"/>
  <c r="C11" i="9"/>
  <c r="C8" i="9"/>
  <c r="C5" i="9"/>
  <c r="G5" i="9"/>
  <c r="G8" i="9"/>
  <c r="G11" i="9"/>
  <c r="E15" i="9"/>
  <c r="C15" i="9"/>
  <c r="D15" i="9"/>
  <c r="F15" i="9"/>
  <c r="G15" i="9"/>
  <c r="G22" i="9"/>
  <c r="G23" i="9"/>
  <c r="F22" i="9"/>
  <c r="F25" i="9"/>
  <c r="E22" i="9"/>
  <c r="E25" i="9"/>
  <c r="D22" i="9"/>
  <c r="D25" i="9"/>
  <c r="C22" i="9"/>
  <c r="C25" i="9"/>
  <c r="G25" i="9"/>
  <c r="M26" i="9"/>
  <c r="L26" i="9"/>
  <c r="H26" i="9"/>
  <c r="D26" i="9"/>
  <c r="E26" i="9"/>
  <c r="C26" i="9"/>
  <c r="F26" i="9"/>
  <c r="G26" i="9"/>
  <c r="G12" i="9"/>
  <c r="G19" i="9"/>
  <c r="N19" i="9"/>
  <c r="M19" i="9"/>
  <c r="L19" i="9"/>
  <c r="H19" i="9"/>
  <c r="F19" i="9"/>
  <c r="E19" i="9"/>
  <c r="D19" i="9"/>
  <c r="C19" i="9"/>
  <c r="N12" i="9"/>
  <c r="M12" i="9"/>
  <c r="L12" i="9"/>
  <c r="F12" i="9"/>
  <c r="E12" i="9"/>
  <c r="D12" i="9"/>
  <c r="C12" i="9"/>
  <c r="N12" i="8"/>
  <c r="M12" i="8"/>
  <c r="L12" i="8"/>
  <c r="K12" i="8"/>
  <c r="J12" i="8"/>
  <c r="I12" i="8"/>
  <c r="H12" i="8"/>
  <c r="G12" i="8"/>
  <c r="F12" i="8"/>
  <c r="E12" i="8"/>
  <c r="D12" i="8"/>
  <c r="C12" i="8"/>
  <c r="E12" i="7"/>
  <c r="D12" i="7"/>
  <c r="F12" i="7"/>
  <c r="G12" i="7"/>
  <c r="H12" i="7"/>
  <c r="I12" i="7"/>
  <c r="J12" i="7"/>
  <c r="K12" i="7"/>
  <c r="L12" i="7"/>
  <c r="M12" i="7"/>
  <c r="N12" i="7"/>
  <c r="C12" i="7"/>
</calcChain>
</file>

<file path=xl/comments1.xml><?xml version="1.0" encoding="utf-8"?>
<comments xmlns="http://schemas.openxmlformats.org/spreadsheetml/2006/main">
  <authors>
    <author>Киреневич Сергей Владимирович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одноставка+двуставка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одноставка+двуставка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одноставка+двуставка</t>
        </r>
      </text>
    </comment>
  </commentList>
</comments>
</file>

<file path=xl/comments2.xml><?xml version="1.0" encoding="utf-8"?>
<comments xmlns="http://schemas.openxmlformats.org/spreadsheetml/2006/main">
  <authors>
    <author>Киреневич Сергей Владимирович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одноставка+двуставка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одноставка+двуставка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одноставка+двуставка</t>
        </r>
      </text>
    </comment>
  </commentList>
</comments>
</file>

<file path=xl/sharedStrings.xml><?xml version="1.0" encoding="utf-8"?>
<sst xmlns="http://schemas.openxmlformats.org/spreadsheetml/2006/main" count="387" uniqueCount="41">
  <si>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</si>
  <si>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</si>
  <si>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</si>
  <si>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</si>
  <si>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</si>
  <si>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</si>
  <si>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</si>
  <si>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</si>
  <si>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</si>
  <si>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</si>
  <si>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</si>
  <si>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</si>
  <si>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</si>
  <si>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</si>
  <si>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</si>
  <si>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</si>
  <si>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</si>
  <si>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</si>
  <si>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</si>
  <si>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</si>
  <si>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кВт*ч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</si>
  <si>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</si>
  <si>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2015 год</t>
  </si>
  <si>
    <t>ОАО "МРСК Сибири" "Хакасэнерго"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</si>
  <si>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2016 год</t>
  </si>
  <si>
    <t>ПАО "МРСК Сибири" "Хакасэнерго"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</si>
  <si>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2017 год</t>
  </si>
  <si>
    <t>Красноярская дирекция по энергообеспечению - структурного подразделения "Трансэнерго"- филиала ОАО "РЖД"</t>
  </si>
  <si>
    <t>Абаканские электрические сети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</si>
  <si>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2018 год</t>
  </si>
  <si>
    <t>МУП "Абаканские электрические сети"</t>
  </si>
  <si>
    <t>ООО "Электросервис"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</si>
  <si>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</si>
  <si>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2020 год</t>
  </si>
  <si>
    <t>Красноярская дирекция по энергообеспечению - структурное подразделение "Трансэнерго"- филиала ОАО "РЖД"</t>
  </si>
  <si>
    <t>Муниципальное унитарное предприятие города Абакана "Абаканские электрические сети"</t>
  </si>
  <si>
    <t>Филиал ПАО «Россети Сибирь» - "Хакасэнерго"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</si>
  <si>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</si>
  <si>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</si>
  <si>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</si>
  <si>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Хакасия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</si>
</sst>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1"/>
      <color theme="7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3" fillId="0" borderId="0" xfId="0" applyNumberFormat="1" applyFont="1"/>
    <xf numFmtId="165" fontId="3" fillId="0" borderId="0" xfId="1" applyNumberFormat="1" applyFont="1"/>
    <xf numFmtId="164" fontId="3" fillId="0" borderId="0" xfId="1" applyFont="1"/>
    <xf numFmtId="0" fontId="4" fillId="0" borderId="0" xfId="0" applyFont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3" fontId="2" fillId="0" borderId="6" xfId="0" applyNumberFormat="1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61;&#1072;&#1082;&#1072;&#1089;&#1080;&#1103;/01/&#1054;&#1090;&#1095;&#1105;&#1090;&#1099;/&#1058;&#1057;&#1054;,&#1059;&#1089;&#1083;&#1091;&#1075;&#1080;%202022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9">
          <cell r="B39">
            <v>1.113</v>
          </cell>
        </row>
        <row r="41">
          <cell r="B41">
            <v>2.3490000000000002</v>
          </cell>
        </row>
        <row r="43">
          <cell r="B43">
            <v>1.7250000000000001</v>
          </cell>
        </row>
        <row r="45">
          <cell r="B45">
            <v>227.249</v>
          </cell>
        </row>
        <row r="46">
          <cell r="B46">
            <v>389.25799999999998</v>
          </cell>
        </row>
        <row r="47">
          <cell r="B47">
            <v>310.05099999999999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view="pageBreakPreview" zoomScale="70" zoomScaleNormal="100" zoomScaleSheetLayoutView="70" workbookViewId="0">
      <selection activeCell="B20" sqref="B2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2" t="s">
        <v>23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3"/>
      <c r="B5" s="7" t="s">
        <v>19</v>
      </c>
      <c r="C5" s="6">
        <v>1072666</v>
      </c>
      <c r="D5" s="6">
        <v>847545</v>
      </c>
      <c r="E5" s="6">
        <v>799068</v>
      </c>
      <c r="F5" s="6">
        <v>531086</v>
      </c>
      <c r="G5" s="6">
        <v>313984</v>
      </c>
      <c r="H5" s="6">
        <v>149475</v>
      </c>
      <c r="I5" s="6">
        <v>112871</v>
      </c>
      <c r="J5" s="6">
        <v>167934</v>
      </c>
      <c r="K5" s="6">
        <v>308275</v>
      </c>
      <c r="L5" s="6">
        <v>477076</v>
      </c>
      <c r="M5" s="6">
        <v>841837</v>
      </c>
      <c r="N5" s="6">
        <v>938422</v>
      </c>
    </row>
    <row r="6" spans="1:14" ht="22.5" customHeight="1" x14ac:dyDescent="0.25">
      <c r="A6" s="23"/>
      <c r="B6" s="7" t="s">
        <v>14</v>
      </c>
      <c r="C6" s="6">
        <v>7442044</v>
      </c>
      <c r="D6" s="6">
        <v>6100542</v>
      </c>
      <c r="E6" s="6">
        <v>7139580</v>
      </c>
      <c r="F6" s="6">
        <v>6598032</v>
      </c>
      <c r="G6" s="6">
        <v>6088953</v>
      </c>
      <c r="H6" s="6">
        <v>5208614</v>
      </c>
      <c r="I6" s="6">
        <v>6066903</v>
      </c>
      <c r="J6" s="6">
        <v>4827869</v>
      </c>
      <c r="K6" s="6">
        <v>4856601</v>
      </c>
      <c r="L6" s="6">
        <v>6674568</v>
      </c>
      <c r="M6" s="6">
        <v>7065988</v>
      </c>
      <c r="N6" s="6">
        <v>7232388</v>
      </c>
    </row>
    <row r="7" spans="1:14" ht="22.5" customHeight="1" x14ac:dyDescent="0.25">
      <c r="A7" s="23"/>
      <c r="B7" s="7" t="s">
        <v>15</v>
      </c>
      <c r="C7" s="6">
        <v>154148</v>
      </c>
      <c r="D7" s="6">
        <v>124530</v>
      </c>
      <c r="E7" s="6">
        <v>107204</v>
      </c>
      <c r="F7" s="6">
        <v>73362</v>
      </c>
      <c r="G7" s="6">
        <v>42933</v>
      </c>
      <c r="H7" s="6">
        <v>29564</v>
      </c>
      <c r="I7" s="6">
        <v>27638</v>
      </c>
      <c r="J7" s="6">
        <v>29963</v>
      </c>
      <c r="K7" s="6">
        <v>66677</v>
      </c>
      <c r="L7" s="6">
        <v>135984</v>
      </c>
      <c r="M7" s="6">
        <v>181704</v>
      </c>
      <c r="N7" s="6">
        <v>177499</v>
      </c>
    </row>
    <row r="8" spans="1:14" ht="22.5" customHeight="1" x14ac:dyDescent="0.25">
      <c r="A8" s="23"/>
      <c r="B8" s="7" t="s">
        <v>16</v>
      </c>
      <c r="C8" s="6">
        <v>628863</v>
      </c>
      <c r="D8" s="6">
        <v>584746</v>
      </c>
      <c r="E8" s="6">
        <v>570164</v>
      </c>
      <c r="F8" s="6">
        <v>457823</v>
      </c>
      <c r="G8" s="6">
        <v>331290</v>
      </c>
      <c r="H8" s="6">
        <v>196283</v>
      </c>
      <c r="I8" s="6">
        <v>250354</v>
      </c>
      <c r="J8" s="6">
        <v>190564</v>
      </c>
      <c r="K8" s="6">
        <v>319221</v>
      </c>
      <c r="L8" s="6">
        <v>560476</v>
      </c>
      <c r="M8" s="6">
        <v>619648</v>
      </c>
      <c r="N8" s="6">
        <v>665828</v>
      </c>
    </row>
    <row r="9" spans="1:14" ht="22.5" customHeight="1" x14ac:dyDescent="0.25">
      <c r="A9" s="23"/>
      <c r="B9" s="7" t="s">
        <v>17</v>
      </c>
      <c r="C9" s="6">
        <v>391275</v>
      </c>
      <c r="D9" s="6">
        <v>326314</v>
      </c>
      <c r="E9" s="6">
        <v>321275</v>
      </c>
      <c r="F9" s="6">
        <v>249808</v>
      </c>
      <c r="G9" s="6">
        <v>235620</v>
      </c>
      <c r="H9" s="6">
        <v>202245</v>
      </c>
      <c r="I9" s="6">
        <v>203129</v>
      </c>
      <c r="J9" s="6">
        <v>191343</v>
      </c>
      <c r="K9" s="6">
        <v>231553</v>
      </c>
      <c r="L9" s="6">
        <v>355069</v>
      </c>
      <c r="M9" s="6">
        <v>427437</v>
      </c>
      <c r="N9" s="6">
        <v>473049</v>
      </c>
    </row>
    <row r="10" spans="1:1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8"/>
      <c r="C11" s="6">
        <v>1254673</v>
      </c>
      <c r="D11" s="6">
        <v>1281263</v>
      </c>
      <c r="E11" s="6">
        <v>1138963</v>
      </c>
      <c r="F11" s="6">
        <v>1022627</v>
      </c>
      <c r="G11" s="6">
        <v>981763</v>
      </c>
      <c r="H11" s="6">
        <v>888926</v>
      </c>
      <c r="I11" s="6">
        <v>855995</v>
      </c>
      <c r="J11" s="6">
        <v>869717</v>
      </c>
      <c r="K11" s="6">
        <v>959792</v>
      </c>
      <c r="L11" s="6">
        <v>1351475</v>
      </c>
      <c r="M11" s="6">
        <v>1690402</v>
      </c>
      <c r="N11" s="6">
        <v>1708796</v>
      </c>
    </row>
    <row r="12" spans="1:14" ht="22.5" customHeight="1" x14ac:dyDescent="0.25">
      <c r="A12" s="27" t="s">
        <v>18</v>
      </c>
      <c r="B12" s="28"/>
      <c r="C12" s="9">
        <f t="shared" ref="C12:N12" si="0">SUM(C5:C9,C11)</f>
        <v>10943669</v>
      </c>
      <c r="D12" s="9">
        <f t="shared" si="0"/>
        <v>9264940</v>
      </c>
      <c r="E12" s="9">
        <f t="shared" si="0"/>
        <v>10076254</v>
      </c>
      <c r="F12" s="9">
        <f t="shared" si="0"/>
        <v>8932738</v>
      </c>
      <c r="G12" s="9">
        <f t="shared" si="0"/>
        <v>7994543</v>
      </c>
      <c r="H12" s="9">
        <f t="shared" si="0"/>
        <v>6675107</v>
      </c>
      <c r="I12" s="9">
        <f t="shared" si="0"/>
        <v>7516890</v>
      </c>
      <c r="J12" s="9">
        <f t="shared" si="0"/>
        <v>6277390</v>
      </c>
      <c r="K12" s="9">
        <f t="shared" si="0"/>
        <v>6742119</v>
      </c>
      <c r="L12" s="9">
        <f t="shared" si="0"/>
        <v>9554648</v>
      </c>
      <c r="M12" s="9">
        <f t="shared" si="0"/>
        <v>10827016</v>
      </c>
      <c r="N12" s="9">
        <f t="shared" si="0"/>
        <v>11195982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abSelected="1" zoomScale="85" zoomScaleNormal="85" workbookViewId="0">
      <selection activeCell="F29" sqref="F29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9.140625" style="1"/>
    <col min="16" max="16" width="12.5703125" style="1" bestFit="1" customWidth="1"/>
    <col min="17" max="16384" width="9.140625" style="1"/>
  </cols>
  <sheetData>
    <row r="2" spans="1:14" ht="20.25" customHeight="1" x14ac:dyDescent="0.2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2" t="s">
        <v>36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3"/>
      <c r="B5" s="7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2.5" customHeight="1" x14ac:dyDescent="0.25">
      <c r="A6" s="23"/>
      <c r="B6" s="7" t="s">
        <v>14</v>
      </c>
      <c r="C6" s="6">
        <v>6585396</v>
      </c>
      <c r="D6" s="6">
        <v>5995582</v>
      </c>
      <c r="E6" s="6">
        <v>5843027</v>
      </c>
      <c r="F6" s="6"/>
      <c r="G6" s="6"/>
      <c r="H6" s="6"/>
      <c r="I6" s="6"/>
      <c r="J6" s="6"/>
      <c r="K6" s="6"/>
      <c r="L6" s="6"/>
      <c r="M6" s="6"/>
      <c r="N6" s="6"/>
    </row>
    <row r="7" spans="1:14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2.5" customHeight="1" x14ac:dyDescent="0.25">
      <c r="A8" s="23"/>
      <c r="B8" s="7" t="s">
        <v>16</v>
      </c>
      <c r="C8" s="6">
        <v>62465</v>
      </c>
      <c r="D8" s="6">
        <v>55711</v>
      </c>
      <c r="E8" s="6">
        <v>44350</v>
      </c>
      <c r="F8" s="6"/>
      <c r="G8" s="6"/>
      <c r="H8" s="6"/>
      <c r="I8" s="6"/>
      <c r="J8" s="6"/>
      <c r="K8" s="6"/>
      <c r="L8" s="6"/>
      <c r="M8" s="6"/>
      <c r="N8" s="6"/>
    </row>
    <row r="9" spans="1:14" ht="22.5" customHeight="1" x14ac:dyDescent="0.25">
      <c r="A9" s="23"/>
      <c r="B9" s="7" t="s">
        <v>17</v>
      </c>
      <c r="C9" s="6">
        <v>464</v>
      </c>
      <c r="D9" s="6">
        <v>516</v>
      </c>
      <c r="E9" s="6">
        <v>1069</v>
      </c>
      <c r="F9" s="6"/>
      <c r="G9" s="6"/>
      <c r="H9" s="6"/>
      <c r="I9" s="6"/>
      <c r="J9" s="6"/>
      <c r="K9" s="6"/>
      <c r="L9" s="6"/>
      <c r="M9" s="6"/>
      <c r="N9" s="6"/>
    </row>
    <row r="10" spans="1:1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8"/>
      <c r="C11" s="6">
        <v>4959</v>
      </c>
      <c r="D11" s="6">
        <v>5656</v>
      </c>
      <c r="E11" s="6">
        <v>4298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2.5" customHeight="1" x14ac:dyDescent="0.25">
      <c r="A12" s="27" t="s">
        <v>18</v>
      </c>
      <c r="B12" s="28"/>
      <c r="C12" s="9">
        <f t="shared" ref="C12:N12" si="0">SUM(C5:C9,C11)</f>
        <v>6653284</v>
      </c>
      <c r="D12" s="9">
        <f t="shared" si="0"/>
        <v>6057465</v>
      </c>
      <c r="E12" s="9">
        <f t="shared" si="0"/>
        <v>5892744</v>
      </c>
      <c r="F12" s="9">
        <f t="shared" si="0"/>
        <v>0</v>
      </c>
      <c r="G12" s="9">
        <f>SUM(G5:G9,G11)</f>
        <v>0</v>
      </c>
      <c r="H12" s="9">
        <f>SUM(H5:H9,H11)</f>
        <v>0</v>
      </c>
      <c r="I12" s="9">
        <f t="shared" ref="I12:K12" si="1">SUM(I5:I9,I11)</f>
        <v>0</v>
      </c>
      <c r="J12" s="9">
        <f t="shared" si="1"/>
        <v>0</v>
      </c>
      <c r="K12" s="9">
        <f t="shared" si="1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ht="22.5" customHeight="1" x14ac:dyDescent="0.25">
      <c r="A13" s="22" t="s">
        <v>34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22.5" customHeight="1" x14ac:dyDescent="0.25">
      <c r="A14" s="23"/>
      <c r="B14" s="7" t="s">
        <v>15</v>
      </c>
      <c r="C14" s="6">
        <v>432933</v>
      </c>
      <c r="D14" s="6">
        <v>406067</v>
      </c>
      <c r="E14" s="6">
        <v>382574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22.5" customHeight="1" x14ac:dyDescent="0.25">
      <c r="A15" s="23"/>
      <c r="B15" s="7" t="s">
        <v>16</v>
      </c>
      <c r="C15" s="6">
        <v>407862</v>
      </c>
      <c r="D15" s="6">
        <v>352075</v>
      </c>
      <c r="E15" s="6">
        <v>354793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22.5" customHeight="1" x14ac:dyDescent="0.25">
      <c r="A16" s="23"/>
      <c r="B16" s="7" t="s">
        <v>17</v>
      </c>
      <c r="C16" s="6">
        <v>305659</v>
      </c>
      <c r="D16" s="6">
        <v>297817</v>
      </c>
      <c r="E16" s="6">
        <v>267163</v>
      </c>
      <c r="F16" s="6"/>
      <c r="G16" s="6"/>
      <c r="H16" s="6"/>
      <c r="I16" s="6"/>
      <c r="J16" s="6"/>
      <c r="K16" s="6"/>
      <c r="L16" s="6"/>
      <c r="M16" s="6"/>
      <c r="N16" s="6"/>
    </row>
    <row r="17" spans="1:16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6" ht="22.5" customHeight="1" x14ac:dyDescent="0.25">
      <c r="A18" s="23"/>
      <c r="B18" s="8"/>
      <c r="C18" s="6">
        <v>1995798</v>
      </c>
      <c r="D18" s="6">
        <v>1997730</v>
      </c>
      <c r="E18" s="6">
        <v>1789935</v>
      </c>
      <c r="F18" s="6"/>
      <c r="G18" s="6"/>
      <c r="H18" s="6"/>
      <c r="I18" s="6"/>
      <c r="J18" s="6"/>
      <c r="K18" s="6"/>
      <c r="L18" s="6"/>
      <c r="M18" s="6"/>
      <c r="N18" s="6"/>
    </row>
    <row r="19" spans="1:16" ht="22.5" customHeight="1" x14ac:dyDescent="0.25">
      <c r="A19" s="27" t="s">
        <v>18</v>
      </c>
      <c r="B19" s="28"/>
      <c r="C19" s="9">
        <f t="shared" ref="C19:N19" si="2">SUM(C14:C16,C18)</f>
        <v>3142252</v>
      </c>
      <c r="D19" s="9">
        <f t="shared" si="2"/>
        <v>3053689</v>
      </c>
      <c r="E19" s="9">
        <f t="shared" si="2"/>
        <v>2794465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</row>
    <row r="20" spans="1:16" ht="22.5" customHeight="1" x14ac:dyDescent="0.25">
      <c r="A20" s="22" t="s">
        <v>35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6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ht="22.5" customHeight="1" x14ac:dyDescent="0.25">
      <c r="A22" s="23"/>
      <c r="B22" s="7" t="s">
        <v>16</v>
      </c>
      <c r="C22" s="6">
        <v>90582</v>
      </c>
      <c r="D22" s="6">
        <v>81542</v>
      </c>
      <c r="E22" s="20">
        <v>73606</v>
      </c>
      <c r="F22" s="6"/>
      <c r="G22" s="6"/>
      <c r="H22" s="6"/>
      <c r="I22" s="20"/>
      <c r="J22" s="6"/>
      <c r="K22" s="6"/>
      <c r="L22" s="6"/>
      <c r="M22" s="6"/>
      <c r="N22" s="6"/>
    </row>
    <row r="23" spans="1:16" ht="22.5" customHeight="1" x14ac:dyDescent="0.25">
      <c r="A23" s="23"/>
      <c r="B23" s="7" t="s">
        <v>17</v>
      </c>
      <c r="C23" s="6">
        <v>1470</v>
      </c>
      <c r="D23" s="6">
        <v>1540</v>
      </c>
      <c r="E23" s="20">
        <v>1432</v>
      </c>
      <c r="F23" s="6"/>
      <c r="G23" s="6"/>
      <c r="H23" s="6"/>
      <c r="I23" s="20"/>
      <c r="J23" s="6"/>
      <c r="K23" s="6"/>
      <c r="L23" s="6"/>
      <c r="M23" s="6"/>
      <c r="N23" s="6"/>
    </row>
    <row r="24" spans="1:16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6" ht="22.5" customHeight="1" x14ac:dyDescent="0.25">
      <c r="A25" s="23"/>
      <c r="B25" s="8"/>
      <c r="C25" s="6">
        <v>2836</v>
      </c>
      <c r="D25" s="6">
        <v>4412</v>
      </c>
      <c r="E25" s="20">
        <v>5420</v>
      </c>
      <c r="F25" s="6"/>
      <c r="G25" s="6"/>
      <c r="H25" s="6"/>
      <c r="I25" s="20"/>
      <c r="J25" s="6"/>
      <c r="K25" s="6"/>
      <c r="L25" s="6"/>
      <c r="M25" s="6"/>
      <c r="N25" s="6"/>
    </row>
    <row r="26" spans="1:16" ht="22.5" customHeight="1" x14ac:dyDescent="0.25">
      <c r="A26" s="27" t="s">
        <v>18</v>
      </c>
      <c r="B26" s="28"/>
      <c r="C26" s="9">
        <f t="shared" ref="C26:M26" si="3">SUM(C21:C23,C25)</f>
        <v>94888</v>
      </c>
      <c r="D26" s="9">
        <f t="shared" si="3"/>
        <v>87494</v>
      </c>
      <c r="E26" s="9">
        <f t="shared" si="3"/>
        <v>80458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>SUM(N21:N23,N25)</f>
        <v>0</v>
      </c>
    </row>
    <row r="27" spans="1:16" ht="22.5" customHeight="1" x14ac:dyDescent="0.25">
      <c r="C27" s="12"/>
      <c r="D27" s="10"/>
      <c r="E27" s="10"/>
      <c r="H27" s="12"/>
      <c r="K27" s="10"/>
      <c r="L27" s="10"/>
      <c r="M27" s="10"/>
      <c r="N27" s="10"/>
    </row>
    <row r="28" spans="1:16" ht="22.5" customHeight="1" x14ac:dyDescent="0.25">
      <c r="C28" s="12"/>
      <c r="D28" s="10"/>
      <c r="E28" s="10"/>
      <c r="K28" s="10"/>
      <c r="L28" s="10"/>
      <c r="M28" s="10"/>
      <c r="N28" s="10"/>
    </row>
    <row r="29" spans="1:16" ht="22.5" customHeight="1" x14ac:dyDescent="0.25">
      <c r="C29" s="12"/>
      <c r="D29" s="10"/>
      <c r="E29" s="10"/>
      <c r="G29" s="10"/>
      <c r="K29" s="10"/>
      <c r="L29" s="10"/>
      <c r="M29" s="10"/>
      <c r="N29" s="10"/>
    </row>
    <row r="30" spans="1:16" ht="22.5" customHeight="1" x14ac:dyDescent="0.25">
      <c r="C30" s="12"/>
      <c r="D30" s="10"/>
      <c r="E30" s="10"/>
      <c r="K30" s="10"/>
      <c r="L30" s="10"/>
      <c r="M30" s="10"/>
      <c r="N30" s="10"/>
    </row>
    <row r="31" spans="1:16" ht="22.5" customHeight="1" x14ac:dyDescent="0.25">
      <c r="C31" s="12"/>
      <c r="D31" s="10"/>
      <c r="E31" s="10"/>
      <c r="K31" s="10"/>
      <c r="L31" s="10"/>
      <c r="M31" s="10"/>
      <c r="N31" s="10"/>
    </row>
    <row r="32" spans="1:16" ht="22.5" customHeight="1" x14ac:dyDescent="0.25">
      <c r="C32" s="12"/>
      <c r="D32" s="10"/>
      <c r="E32" s="10"/>
      <c r="K32" s="10"/>
      <c r="L32" s="10"/>
      <c r="M32" s="13"/>
      <c r="N32"/>
      <c r="O32"/>
      <c r="P32"/>
    </row>
    <row r="33" spans="3:13" ht="22.5" customHeight="1" x14ac:dyDescent="0.25">
      <c r="C33" s="12"/>
      <c r="D33" s="10"/>
      <c r="E33" s="10"/>
      <c r="K33" s="10"/>
      <c r="L33" s="10"/>
      <c r="M33" s="10"/>
    </row>
    <row r="34" spans="3:13" ht="22.5" customHeight="1" x14ac:dyDescent="0.25">
      <c r="C34" s="12"/>
      <c r="D34" s="10"/>
      <c r="E34" s="10"/>
      <c r="K34" s="10"/>
      <c r="L34" s="10"/>
      <c r="M34" s="10"/>
    </row>
    <row r="35" spans="3:13" ht="22.5" customHeight="1" x14ac:dyDescent="0.25">
      <c r="C35" s="12"/>
      <c r="D35" s="10"/>
      <c r="E35" s="10"/>
      <c r="K35" s="10"/>
      <c r="L35" s="10"/>
      <c r="M35" s="10"/>
    </row>
    <row r="36" spans="3:13" ht="22.5" customHeight="1" x14ac:dyDescent="0.25">
      <c r="C36" s="12"/>
      <c r="D36" s="10"/>
      <c r="E36" s="10"/>
      <c r="K36" s="10"/>
      <c r="L36" s="10"/>
      <c r="M36" s="10"/>
    </row>
    <row r="37" spans="3:13" ht="22.5" customHeight="1" x14ac:dyDescent="0.25">
      <c r="C37" s="12"/>
      <c r="D37" s="10"/>
      <c r="E37" s="10"/>
      <c r="K37" s="10"/>
      <c r="L37" s="10"/>
      <c r="M37" s="10"/>
    </row>
    <row r="38" spans="3:13" ht="22.5" customHeight="1" x14ac:dyDescent="0.25">
      <c r="C38" s="12"/>
      <c r="D38" s="10"/>
      <c r="E38" s="10"/>
      <c r="K38" s="10"/>
      <c r="L38" s="10"/>
      <c r="M38" s="10"/>
    </row>
    <row r="39" spans="3:13" ht="22.5" customHeight="1" x14ac:dyDescent="0.25">
      <c r="C39" s="12"/>
      <c r="D39" s="10"/>
      <c r="E39" s="10"/>
    </row>
    <row r="40" spans="3:13" ht="22.5" customHeight="1" x14ac:dyDescent="0.25">
      <c r="C40" s="12"/>
      <c r="D40" s="10"/>
      <c r="E40" s="10"/>
    </row>
    <row r="41" spans="3:13" ht="22.5" customHeight="1" x14ac:dyDescent="0.25">
      <c r="C41" s="12"/>
      <c r="D41" s="10"/>
      <c r="E41" s="10"/>
    </row>
  </sheetData>
  <mergeCells count="13">
    <mergeCell ref="A19:B19"/>
    <mergeCell ref="A20:A25"/>
    <mergeCell ref="B20:N20"/>
    <mergeCell ref="B24:N24"/>
    <mergeCell ref="A26:B26"/>
    <mergeCell ref="A13:A18"/>
    <mergeCell ref="B13:N13"/>
    <mergeCell ref="B17:N17"/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2" t="s">
        <v>25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3"/>
      <c r="B5" s="7" t="s">
        <v>19</v>
      </c>
      <c r="C5" s="6">
        <v>1182184</v>
      </c>
      <c r="D5" s="6">
        <v>835489</v>
      </c>
      <c r="E5" s="6">
        <v>727317</v>
      </c>
      <c r="F5" s="6">
        <v>414258</v>
      </c>
      <c r="G5" s="6">
        <v>370919</v>
      </c>
      <c r="H5" s="6">
        <v>161136</v>
      </c>
      <c r="I5" s="6">
        <v>215943</v>
      </c>
      <c r="J5" s="6">
        <v>216198</v>
      </c>
      <c r="K5" s="6">
        <v>222269</v>
      </c>
      <c r="L5" s="6">
        <v>625963</v>
      </c>
      <c r="M5" s="6">
        <v>769476</v>
      </c>
      <c r="N5" s="6">
        <v>873917</v>
      </c>
    </row>
    <row r="6" spans="1:14" ht="22.5" customHeight="1" x14ac:dyDescent="0.25">
      <c r="A6" s="23"/>
      <c r="B6" s="7" t="s">
        <v>14</v>
      </c>
      <c r="C6" s="6">
        <v>7693446</v>
      </c>
      <c r="D6" s="6">
        <v>7306217</v>
      </c>
      <c r="E6" s="6">
        <v>6889920</v>
      </c>
      <c r="F6" s="6">
        <v>5854847</v>
      </c>
      <c r="G6" s="6">
        <v>6454268</v>
      </c>
      <c r="H6" s="6">
        <v>6126095</v>
      </c>
      <c r="I6" s="6">
        <v>4856528</v>
      </c>
      <c r="J6" s="6">
        <v>5060939</v>
      </c>
      <c r="K6" s="6">
        <v>4577134</v>
      </c>
      <c r="L6" s="6">
        <v>5948853</v>
      </c>
      <c r="M6" s="6">
        <v>7478284</v>
      </c>
      <c r="N6" s="6">
        <v>7682111</v>
      </c>
    </row>
    <row r="7" spans="1:14" ht="22.5" customHeight="1" x14ac:dyDescent="0.25">
      <c r="A7" s="23"/>
      <c r="B7" s="7" t="s">
        <v>15</v>
      </c>
      <c r="C7" s="6">
        <v>157656</v>
      </c>
      <c r="D7" s="6">
        <v>169817</v>
      </c>
      <c r="E7" s="6">
        <v>94262</v>
      </c>
      <c r="F7" s="6">
        <v>62425</v>
      </c>
      <c r="G7" s="6">
        <v>54340</v>
      </c>
      <c r="H7" s="6">
        <v>132374</v>
      </c>
      <c r="I7" s="6">
        <v>39801</v>
      </c>
      <c r="J7" s="6">
        <v>40289</v>
      </c>
      <c r="K7" s="6">
        <v>45204</v>
      </c>
      <c r="L7" s="6">
        <v>109408</v>
      </c>
      <c r="M7" s="6">
        <v>149897</v>
      </c>
      <c r="N7" s="6">
        <v>86160</v>
      </c>
    </row>
    <row r="8" spans="1:14" ht="22.5" customHeight="1" x14ac:dyDescent="0.25">
      <c r="A8" s="23"/>
      <c r="B8" s="7" t="s">
        <v>16</v>
      </c>
      <c r="C8" s="6">
        <v>719686</v>
      </c>
      <c r="D8" s="6">
        <v>609847</v>
      </c>
      <c r="E8" s="6">
        <v>585944</v>
      </c>
      <c r="F8" s="6">
        <v>490662</v>
      </c>
      <c r="G8" s="6">
        <v>373727</v>
      </c>
      <c r="H8" s="6">
        <v>255226</v>
      </c>
      <c r="I8" s="6">
        <v>219610</v>
      </c>
      <c r="J8" s="6">
        <v>208765</v>
      </c>
      <c r="K8" s="6">
        <v>249712</v>
      </c>
      <c r="L8" s="6">
        <v>533975</v>
      </c>
      <c r="M8" s="6">
        <v>593255</v>
      </c>
      <c r="N8" s="6">
        <v>635817</v>
      </c>
    </row>
    <row r="9" spans="1:14" ht="22.5" customHeight="1" x14ac:dyDescent="0.25">
      <c r="A9" s="23"/>
      <c r="B9" s="7" t="s">
        <v>17</v>
      </c>
      <c r="C9" s="6">
        <v>554433</v>
      </c>
      <c r="D9" s="6">
        <v>510084</v>
      </c>
      <c r="E9" s="6">
        <v>438225</v>
      </c>
      <c r="F9" s="6">
        <v>327364</v>
      </c>
      <c r="G9" s="6">
        <v>329893</v>
      </c>
      <c r="H9" s="6">
        <v>118112</v>
      </c>
      <c r="I9" s="6">
        <v>250727</v>
      </c>
      <c r="J9" s="6">
        <v>228451</v>
      </c>
      <c r="K9" s="6">
        <v>254076</v>
      </c>
      <c r="L9" s="6">
        <v>391766</v>
      </c>
      <c r="M9" s="6">
        <v>464936</v>
      </c>
      <c r="N9" s="6">
        <v>520042</v>
      </c>
    </row>
    <row r="10" spans="1:1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8"/>
      <c r="C11" s="6">
        <v>1971525</v>
      </c>
      <c r="D11" s="6">
        <v>1912316</v>
      </c>
      <c r="E11" s="6">
        <v>1540795</v>
      </c>
      <c r="F11" s="6">
        <v>1389511</v>
      </c>
      <c r="G11" s="6">
        <v>1260599</v>
      </c>
      <c r="H11" s="6">
        <v>1064934</v>
      </c>
      <c r="I11" s="6">
        <v>959939</v>
      </c>
      <c r="J11" s="6">
        <v>1080475</v>
      </c>
      <c r="K11" s="6">
        <v>1190217</v>
      </c>
      <c r="L11" s="6">
        <v>1517630</v>
      </c>
      <c r="M11" s="6">
        <v>1762049</v>
      </c>
      <c r="N11" s="6">
        <v>1872631</v>
      </c>
    </row>
    <row r="12" spans="1:14" ht="22.5" customHeight="1" x14ac:dyDescent="0.25">
      <c r="A12" s="27" t="s">
        <v>18</v>
      </c>
      <c r="B12" s="28"/>
      <c r="C12" s="9">
        <f t="shared" ref="C12:N12" si="0">SUM(C5:C9,C11)</f>
        <v>12278930</v>
      </c>
      <c r="D12" s="9">
        <f t="shared" si="0"/>
        <v>11343770</v>
      </c>
      <c r="E12" s="9">
        <f t="shared" si="0"/>
        <v>10276463</v>
      </c>
      <c r="F12" s="9">
        <f t="shared" si="0"/>
        <v>8539067</v>
      </c>
      <c r="G12" s="9">
        <f t="shared" si="0"/>
        <v>8843746</v>
      </c>
      <c r="H12" s="9">
        <f t="shared" si="0"/>
        <v>7857877</v>
      </c>
      <c r="I12" s="9">
        <f t="shared" si="0"/>
        <v>6542548</v>
      </c>
      <c r="J12" s="9">
        <f t="shared" si="0"/>
        <v>6835117</v>
      </c>
      <c r="K12" s="9">
        <f t="shared" si="0"/>
        <v>6538612</v>
      </c>
      <c r="L12" s="9">
        <f t="shared" si="0"/>
        <v>9127595</v>
      </c>
      <c r="M12" s="9">
        <f t="shared" si="0"/>
        <v>11217897</v>
      </c>
      <c r="N12" s="9">
        <f t="shared" si="0"/>
        <v>11670678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zoomScale="70" zoomScaleNormal="7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L5" sqref="L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12.5703125" style="1" bestFit="1" customWidth="1"/>
    <col min="17" max="16384" width="9.140625" style="1"/>
  </cols>
  <sheetData>
    <row r="2" spans="1:14" ht="42.75" customHeight="1" x14ac:dyDescent="0.2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2" t="s">
        <v>25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3"/>
      <c r="B5" s="7" t="s">
        <v>19</v>
      </c>
      <c r="C5" s="6">
        <f>756767+4920</f>
        <v>761687</v>
      </c>
      <c r="D5" s="6">
        <f>584909+3044</f>
        <v>587953</v>
      </c>
      <c r="E5" s="6">
        <f>571743+7797</f>
        <v>579540</v>
      </c>
      <c r="F5" s="6">
        <f>358200+2168</f>
        <v>360368</v>
      </c>
      <c r="G5" s="6">
        <f>255632+709</f>
        <v>256341</v>
      </c>
      <c r="H5" s="6">
        <f>131278+542</f>
        <v>131820</v>
      </c>
      <c r="I5" s="6"/>
      <c r="J5" s="6"/>
      <c r="K5" s="6"/>
      <c r="L5" s="6"/>
      <c r="M5" s="6"/>
      <c r="N5" s="6"/>
    </row>
    <row r="6" spans="1:14" ht="22.5" customHeight="1" x14ac:dyDescent="0.25">
      <c r="A6" s="23"/>
      <c r="B6" s="7" t="s">
        <v>14</v>
      </c>
      <c r="C6" s="6">
        <v>7967863</v>
      </c>
      <c r="D6" s="6">
        <v>7095828</v>
      </c>
      <c r="E6" s="6">
        <v>6347952</v>
      </c>
      <c r="F6" s="6">
        <v>6678130</v>
      </c>
      <c r="G6" s="6">
        <v>6350270</v>
      </c>
      <c r="H6" s="6">
        <v>6264145</v>
      </c>
      <c r="I6" s="6">
        <f>6934393+375</f>
        <v>6934768</v>
      </c>
      <c r="J6" s="6">
        <f>6837066+375</f>
        <v>6837441</v>
      </c>
      <c r="K6" s="6">
        <f>5865190+375</f>
        <v>5865565</v>
      </c>
      <c r="L6" s="6">
        <f>7057185+12509</f>
        <v>7069694</v>
      </c>
      <c r="M6" s="6">
        <v>8099109</v>
      </c>
      <c r="N6" s="6">
        <v>8586273</v>
      </c>
    </row>
    <row r="7" spans="1:14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2.5" customHeight="1" x14ac:dyDescent="0.25">
      <c r="A8" s="23"/>
      <c r="B8" s="7" t="s">
        <v>16</v>
      </c>
      <c r="C8" s="6">
        <f>1520+3341</f>
        <v>4861</v>
      </c>
      <c r="D8" s="6">
        <f>1320+3383</f>
        <v>4703</v>
      </c>
      <c r="E8" s="6">
        <f>837+3176</f>
        <v>4013</v>
      </c>
      <c r="F8" s="6">
        <f>658+2950</f>
        <v>3608</v>
      </c>
      <c r="G8" s="6">
        <f>487+3300</f>
        <v>3787</v>
      </c>
      <c r="H8" s="6">
        <f>750+2929</f>
        <v>3679</v>
      </c>
      <c r="I8" s="6">
        <f>762+2908</f>
        <v>3670</v>
      </c>
      <c r="J8" s="6">
        <f>565+2908</f>
        <v>3473</v>
      </c>
      <c r="K8" s="6">
        <f>657+2888</f>
        <v>3545</v>
      </c>
      <c r="L8" s="6">
        <f>993+3115</f>
        <v>4108</v>
      </c>
      <c r="M8" s="6">
        <f>1068+3259</f>
        <v>4327</v>
      </c>
      <c r="N8" s="6">
        <f>1213+3610</f>
        <v>4823</v>
      </c>
    </row>
    <row r="9" spans="1:14" ht="22.5" customHeight="1" x14ac:dyDescent="0.25">
      <c r="A9" s="23"/>
      <c r="B9" s="7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8"/>
      <c r="C11" s="6">
        <f>125129+4753</f>
        <v>129882</v>
      </c>
      <c r="D11" s="6">
        <f>112469+3008</f>
        <v>115477</v>
      </c>
      <c r="E11" s="6">
        <f>104774+2988</f>
        <v>107762</v>
      </c>
      <c r="F11" s="6">
        <f>70011+2347</f>
        <v>72358</v>
      </c>
      <c r="G11" s="6">
        <f>30811+2206</f>
        <v>33017</v>
      </c>
      <c r="H11" s="6">
        <f>8573+1945</f>
        <v>10518</v>
      </c>
      <c r="I11" s="6">
        <f>4720+1965</f>
        <v>6685</v>
      </c>
      <c r="J11" s="6">
        <v>6604</v>
      </c>
      <c r="K11" s="6">
        <f>26856+2106</f>
        <v>28962</v>
      </c>
      <c r="L11" s="6">
        <f>76241+2507</f>
        <v>78748</v>
      </c>
      <c r="M11" s="6">
        <f>102175+3550</f>
        <v>105725</v>
      </c>
      <c r="N11" s="6">
        <f>142741+3991</f>
        <v>146732</v>
      </c>
    </row>
    <row r="12" spans="1:14" ht="22.5" customHeight="1" x14ac:dyDescent="0.25">
      <c r="A12" s="27" t="s">
        <v>18</v>
      </c>
      <c r="B12" s="28"/>
      <c r="C12" s="9">
        <f t="shared" ref="C12:N12" si="0">SUM(C5:C9,C11)</f>
        <v>8864293</v>
      </c>
      <c r="D12" s="9">
        <f t="shared" si="0"/>
        <v>7803961</v>
      </c>
      <c r="E12" s="9">
        <f t="shared" si="0"/>
        <v>7039267</v>
      </c>
      <c r="F12" s="9">
        <f t="shared" si="0"/>
        <v>7114464</v>
      </c>
      <c r="G12" s="9">
        <f>SUM(G5:G9,G11)</f>
        <v>6643415</v>
      </c>
      <c r="H12" s="9">
        <f>SUM(H5:H9,H11)</f>
        <v>6410162</v>
      </c>
      <c r="I12" s="9">
        <f t="shared" ref="I12:J12" si="1">SUM(I5:I9,I11)</f>
        <v>6945123</v>
      </c>
      <c r="J12" s="9">
        <f t="shared" si="1"/>
        <v>6847518</v>
      </c>
      <c r="K12" s="9">
        <f t="shared" ref="K12" si="2">SUM(K5:K9,K11)</f>
        <v>5898072</v>
      </c>
      <c r="L12" s="9">
        <f t="shared" si="0"/>
        <v>7152550</v>
      </c>
      <c r="M12" s="9">
        <f t="shared" si="0"/>
        <v>8209161</v>
      </c>
      <c r="N12" s="9">
        <f t="shared" si="0"/>
        <v>8737828</v>
      </c>
    </row>
    <row r="13" spans="1:14" ht="22.5" customHeight="1" x14ac:dyDescent="0.25">
      <c r="A13" s="22" t="s">
        <v>27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22.5" customHeight="1" x14ac:dyDescent="0.25">
      <c r="A14" s="23"/>
      <c r="B14" s="7" t="s">
        <v>15</v>
      </c>
      <c r="C14" s="6">
        <v>185139</v>
      </c>
      <c r="D14" s="6">
        <v>175230</v>
      </c>
      <c r="E14" s="6">
        <v>145487</v>
      </c>
      <c r="F14" s="6">
        <v>108355</v>
      </c>
      <c r="G14" s="6">
        <v>82353</v>
      </c>
      <c r="H14" s="6">
        <v>50905</v>
      </c>
      <c r="I14" s="6">
        <v>54325</v>
      </c>
      <c r="J14" s="6">
        <f>68178</f>
        <v>68178</v>
      </c>
      <c r="K14" s="6">
        <v>83941</v>
      </c>
      <c r="L14" s="6">
        <v>108563</v>
      </c>
      <c r="M14" s="6">
        <v>162090</v>
      </c>
      <c r="N14" s="6">
        <v>187903</v>
      </c>
    </row>
    <row r="15" spans="1:14" ht="22.5" customHeight="1" x14ac:dyDescent="0.25">
      <c r="A15" s="23"/>
      <c r="B15" s="7" t="s">
        <v>16</v>
      </c>
      <c r="C15" s="6">
        <f>614944+5192</f>
        <v>620136</v>
      </c>
      <c r="D15" s="6">
        <f>558303+4756</f>
        <v>563059</v>
      </c>
      <c r="E15" s="6">
        <f>570465+5032</f>
        <v>575497</v>
      </c>
      <c r="F15" s="6">
        <f>534430+4616</f>
        <v>539046</v>
      </c>
      <c r="G15" s="6">
        <f>176823+6585</f>
        <v>183408</v>
      </c>
      <c r="H15" s="6">
        <f>237510+8068</f>
        <v>245578</v>
      </c>
      <c r="I15" s="6">
        <f>222822+8315</f>
        <v>231137</v>
      </c>
      <c r="J15" s="6">
        <f>250060+7742</f>
        <v>257802</v>
      </c>
      <c r="K15" s="6">
        <f>338514+7135</f>
        <v>345649</v>
      </c>
      <c r="L15" s="6">
        <f>606600+7220</f>
        <v>613820</v>
      </c>
      <c r="M15" s="6">
        <f>584434+6656</f>
        <v>591090</v>
      </c>
      <c r="N15" s="6">
        <f>657793+6153</f>
        <v>663946</v>
      </c>
    </row>
    <row r="16" spans="1:14" ht="22.5" customHeight="1" x14ac:dyDescent="0.25">
      <c r="A16" s="23"/>
      <c r="B16" s="7" t="s">
        <v>17</v>
      </c>
      <c r="C16" s="6">
        <f>488376</f>
        <v>488376</v>
      </c>
      <c r="D16" s="6">
        <f>418985</f>
        <v>418985</v>
      </c>
      <c r="E16" s="6">
        <f>361939</f>
        <v>361939</v>
      </c>
      <c r="F16" s="6">
        <f>288186</f>
        <v>288186</v>
      </c>
      <c r="G16" s="6">
        <f>243511</f>
        <v>243511</v>
      </c>
      <c r="H16" s="6">
        <f>209738</f>
        <v>209738</v>
      </c>
      <c r="I16" s="6">
        <v>201365</v>
      </c>
      <c r="J16" s="6">
        <f>200700</f>
        <v>200700</v>
      </c>
      <c r="K16" s="6">
        <v>236889</v>
      </c>
      <c r="L16" s="6">
        <v>336312</v>
      </c>
      <c r="M16" s="6">
        <v>392182</v>
      </c>
      <c r="N16" s="6">
        <v>477411</v>
      </c>
    </row>
    <row r="17" spans="1:14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22.5" customHeight="1" x14ac:dyDescent="0.25">
      <c r="A18" s="23"/>
      <c r="B18" s="8"/>
      <c r="C18" s="6">
        <f>256207+625524+23257+956381+20762</f>
        <v>1882131</v>
      </c>
      <c r="D18" s="6">
        <f>260681+590695+23223+907348+19630</f>
        <v>1801577</v>
      </c>
      <c r="E18" s="6">
        <f>207055+454898+20062+701934+18601</f>
        <v>1402550</v>
      </c>
      <c r="F18" s="6">
        <f>1378168+15639</f>
        <v>1393807</v>
      </c>
      <c r="G18" s="6">
        <f>1337069+16164</f>
        <v>1353233</v>
      </c>
      <c r="H18" s="6">
        <f>1042967+13700</f>
        <v>1056667</v>
      </c>
      <c r="I18" s="6">
        <f>969329+15124</f>
        <v>984453</v>
      </c>
      <c r="J18" s="6">
        <f>966166+15236</f>
        <v>981402</v>
      </c>
      <c r="K18" s="6">
        <f>1214249+15955</f>
        <v>1230204</v>
      </c>
      <c r="L18" s="6">
        <f>1377219+15947</f>
        <v>1393166</v>
      </c>
      <c r="M18" s="6">
        <f>1498252+17830</f>
        <v>1516082</v>
      </c>
      <c r="N18" s="6">
        <f>1874176+19810</f>
        <v>1893986</v>
      </c>
    </row>
    <row r="19" spans="1:14" ht="22.5" customHeight="1" x14ac:dyDescent="0.25">
      <c r="A19" s="27" t="s">
        <v>18</v>
      </c>
      <c r="B19" s="28"/>
      <c r="C19" s="9">
        <f t="shared" ref="C19:N19" si="3">SUM(C14:C16,C18)</f>
        <v>3175782</v>
      </c>
      <c r="D19" s="9">
        <f t="shared" si="3"/>
        <v>2958851</v>
      </c>
      <c r="E19" s="9">
        <f t="shared" si="3"/>
        <v>2485473</v>
      </c>
      <c r="F19" s="9">
        <f t="shared" si="3"/>
        <v>2329394</v>
      </c>
      <c r="G19" s="9">
        <f t="shared" ref="G19" si="4">SUM(G14:G16,G18)</f>
        <v>1862505</v>
      </c>
      <c r="H19" s="9">
        <f t="shared" si="3"/>
        <v>1562888</v>
      </c>
      <c r="I19" s="9">
        <f t="shared" ref="I19:J19" si="5">SUM(I14:I16,I18)</f>
        <v>1471280</v>
      </c>
      <c r="J19" s="9">
        <f t="shared" si="5"/>
        <v>1508082</v>
      </c>
      <c r="K19" s="9">
        <f t="shared" ref="K19" si="6">SUM(K14:K16,K18)</f>
        <v>1896683</v>
      </c>
      <c r="L19" s="9">
        <f t="shared" si="3"/>
        <v>2451861</v>
      </c>
      <c r="M19" s="9">
        <f t="shared" si="3"/>
        <v>2661444</v>
      </c>
      <c r="N19" s="9">
        <f t="shared" si="3"/>
        <v>3223246</v>
      </c>
    </row>
    <row r="20" spans="1:14" ht="22.5" customHeight="1" x14ac:dyDescent="0.25">
      <c r="A20" s="22" t="s">
        <v>28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2.5" customHeight="1" x14ac:dyDescent="0.25">
      <c r="A22" s="23"/>
      <c r="B22" s="7" t="s">
        <v>16</v>
      </c>
      <c r="C22" s="6">
        <f>55332+17290+41154+9748</f>
        <v>123524</v>
      </c>
      <c r="D22" s="6">
        <f>51589+20225+36134+9257</f>
        <v>117205</v>
      </c>
      <c r="E22" s="6">
        <f>70626+14806+6985+10240</f>
        <v>102657</v>
      </c>
      <c r="F22" s="6">
        <f>72229+12905+5976+7537</f>
        <v>98647</v>
      </c>
      <c r="G22" s="6">
        <f>66054+11607+4713+8356</f>
        <v>90730</v>
      </c>
      <c r="H22" s="6">
        <f>64331+13670+7690+9175</f>
        <v>94866</v>
      </c>
      <c r="I22" s="6">
        <f>66263+5680+12491+8602</f>
        <v>93036</v>
      </c>
      <c r="J22" s="6">
        <f>64253+14818+5975+10813</f>
        <v>95859</v>
      </c>
      <c r="K22" s="6">
        <f>64366+7015+3661+10977</f>
        <v>86019</v>
      </c>
      <c r="L22" s="6">
        <f>73619+15955+8543+11796</f>
        <v>109913</v>
      </c>
      <c r="M22" s="6">
        <f>69025+4247+12156+13599</f>
        <v>99027</v>
      </c>
      <c r="N22" s="6">
        <f>70863+12889+11667+13599</f>
        <v>109018</v>
      </c>
    </row>
    <row r="23" spans="1:14" ht="22.5" customHeight="1" x14ac:dyDescent="0.25">
      <c r="A23" s="23"/>
      <c r="B23" s="7" t="s">
        <v>17</v>
      </c>
      <c r="C23" s="6">
        <v>936</v>
      </c>
      <c r="D23" s="6">
        <v>1232</v>
      </c>
      <c r="E23" s="6">
        <v>391</v>
      </c>
      <c r="F23" s="6">
        <v>474</v>
      </c>
      <c r="G23" s="6">
        <f>486</f>
        <v>486</v>
      </c>
      <c r="H23" s="6">
        <f>556</f>
        <v>556</v>
      </c>
      <c r="I23" s="6">
        <v>449</v>
      </c>
      <c r="J23" s="6">
        <v>380</v>
      </c>
      <c r="K23" s="6">
        <v>497</v>
      </c>
      <c r="L23" s="6">
        <v>367</v>
      </c>
      <c r="M23" s="6">
        <f>442</f>
        <v>442</v>
      </c>
      <c r="N23" s="6">
        <v>634</v>
      </c>
    </row>
    <row r="24" spans="1:14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22.5" customHeight="1" x14ac:dyDescent="0.25">
      <c r="A25" s="23"/>
      <c r="B25" s="8"/>
      <c r="C25" s="6">
        <f>287+4848</f>
        <v>5135</v>
      </c>
      <c r="D25" s="6">
        <f>260+5588</f>
        <v>5848</v>
      </c>
      <c r="E25" s="6">
        <f>101+5013</f>
        <v>5114</v>
      </c>
      <c r="F25" s="6">
        <f>84+4716</f>
        <v>4800</v>
      </c>
      <c r="G25" s="6">
        <f>60+5226</f>
        <v>5286</v>
      </c>
      <c r="H25" s="6">
        <f>65+5425</f>
        <v>5490</v>
      </c>
      <c r="I25" s="6">
        <f>65+3221</f>
        <v>3286</v>
      </c>
      <c r="J25" s="6">
        <f>84+3496</f>
        <v>3580</v>
      </c>
      <c r="K25" s="6">
        <f>89+4447</f>
        <v>4536</v>
      </c>
      <c r="L25" s="6">
        <f>221+4789</f>
        <v>5010</v>
      </c>
      <c r="M25" s="6">
        <f>100+7111</f>
        <v>7211</v>
      </c>
      <c r="N25" s="6">
        <f>63+9196</f>
        <v>9259</v>
      </c>
    </row>
    <row r="26" spans="1:14" ht="22.5" customHeight="1" x14ac:dyDescent="0.25">
      <c r="A26" s="27" t="s">
        <v>18</v>
      </c>
      <c r="B26" s="28"/>
      <c r="C26" s="9">
        <f t="shared" ref="C26:M26" si="7">SUM(C21:C23,C25)</f>
        <v>129595</v>
      </c>
      <c r="D26" s="9">
        <f t="shared" si="7"/>
        <v>124285</v>
      </c>
      <c r="E26" s="9">
        <f t="shared" si="7"/>
        <v>108162</v>
      </c>
      <c r="F26" s="9">
        <f t="shared" si="7"/>
        <v>103921</v>
      </c>
      <c r="G26" s="9">
        <f t="shared" si="7"/>
        <v>96502</v>
      </c>
      <c r="H26" s="9">
        <f t="shared" si="7"/>
        <v>100912</v>
      </c>
      <c r="I26" s="9">
        <f t="shared" ref="I26:K26" si="8">SUM(I21:I23,I25)</f>
        <v>96771</v>
      </c>
      <c r="J26" s="9">
        <f t="shared" si="8"/>
        <v>99819</v>
      </c>
      <c r="K26" s="9">
        <f t="shared" si="8"/>
        <v>91052</v>
      </c>
      <c r="L26" s="9">
        <f t="shared" si="7"/>
        <v>115290</v>
      </c>
      <c r="M26" s="9">
        <f t="shared" si="7"/>
        <v>106680</v>
      </c>
      <c r="N26" s="9">
        <f>SUM(N21:N23,N25)</f>
        <v>118911</v>
      </c>
    </row>
    <row r="28" spans="1:14" ht="22.5" customHeight="1" x14ac:dyDescent="0.25">
      <c r="C28" s="10"/>
      <c r="D28" s="10"/>
      <c r="E28" s="10"/>
      <c r="F28" s="10"/>
      <c r="G28" s="10"/>
      <c r="H28" s="10"/>
      <c r="K28" s="10"/>
      <c r="L28" s="10"/>
      <c r="M28" s="10"/>
      <c r="N28" s="10"/>
    </row>
    <row r="29" spans="1:14" ht="22.5" customHeight="1" x14ac:dyDescent="0.25">
      <c r="C29" s="10"/>
      <c r="D29" s="10"/>
      <c r="E29" s="10"/>
      <c r="F29" s="10"/>
      <c r="G29" s="10"/>
      <c r="K29" s="10"/>
      <c r="L29" s="10"/>
      <c r="M29" s="10"/>
    </row>
    <row r="30" spans="1:14" ht="22.5" customHeight="1" x14ac:dyDescent="0.25">
      <c r="C30" s="12"/>
      <c r="D30" s="10"/>
      <c r="E30" s="10"/>
      <c r="F30" s="10"/>
      <c r="G30" s="10"/>
      <c r="K30" s="10"/>
      <c r="L30" s="10"/>
      <c r="M30" s="10"/>
      <c r="N30" s="10"/>
    </row>
    <row r="31" spans="1:14" ht="22.5" customHeight="1" x14ac:dyDescent="0.25">
      <c r="C31" s="12"/>
      <c r="D31" s="10"/>
      <c r="E31" s="10"/>
      <c r="I31" s="10"/>
      <c r="J31" s="12"/>
      <c r="K31" s="10"/>
      <c r="L31" s="10"/>
      <c r="M31" s="10"/>
      <c r="N31" s="10"/>
    </row>
    <row r="32" spans="1:14" ht="22.5" customHeight="1" x14ac:dyDescent="0.25">
      <c r="C32" s="12"/>
      <c r="D32" s="10"/>
      <c r="E32" s="10"/>
      <c r="G32" s="11"/>
      <c r="I32" s="10"/>
      <c r="K32" s="10"/>
      <c r="L32" s="10"/>
      <c r="M32" s="10"/>
      <c r="N32" s="10"/>
    </row>
    <row r="33" spans="3:16" ht="22.5" customHeight="1" x14ac:dyDescent="0.25">
      <c r="C33" s="12"/>
      <c r="D33" s="10"/>
      <c r="E33" s="10"/>
      <c r="H33" s="12"/>
      <c r="I33" s="10"/>
      <c r="K33" s="10"/>
      <c r="L33" s="10"/>
      <c r="M33" s="10"/>
      <c r="N33" s="10"/>
    </row>
    <row r="34" spans="3:16" ht="22.5" customHeight="1" x14ac:dyDescent="0.25">
      <c r="C34" s="12"/>
      <c r="D34" s="10"/>
      <c r="E34" s="10"/>
      <c r="H34" s="12"/>
      <c r="K34" s="10"/>
      <c r="L34" s="10"/>
      <c r="M34" s="10"/>
      <c r="N34" s="10"/>
    </row>
    <row r="35" spans="3:16" ht="22.5" customHeight="1" x14ac:dyDescent="0.25">
      <c r="C35" s="12"/>
      <c r="D35" s="10"/>
      <c r="E35" s="10"/>
      <c r="K35" s="10"/>
      <c r="L35" s="10"/>
      <c r="M35" s="10"/>
      <c r="N35" s="10"/>
    </row>
    <row r="36" spans="3:16" ht="22.5" customHeight="1" x14ac:dyDescent="0.25">
      <c r="C36" s="12"/>
      <c r="D36" s="10"/>
      <c r="E36" s="10"/>
      <c r="G36" s="10"/>
      <c r="K36" s="10"/>
      <c r="L36" s="10"/>
      <c r="M36" s="10"/>
      <c r="N36" s="10"/>
    </row>
    <row r="37" spans="3:16" ht="22.5" customHeight="1" x14ac:dyDescent="0.25">
      <c r="C37" s="12"/>
      <c r="D37" s="10"/>
      <c r="E37" s="10"/>
      <c r="K37" s="10"/>
      <c r="L37" s="10"/>
      <c r="M37" s="10"/>
      <c r="N37" s="10"/>
    </row>
    <row r="38" spans="3:16" ht="22.5" customHeight="1" x14ac:dyDescent="0.25">
      <c r="C38" s="12"/>
      <c r="D38" s="10"/>
      <c r="E38" s="10"/>
      <c r="K38" s="10"/>
      <c r="L38" s="10"/>
      <c r="M38" s="10"/>
      <c r="N38" s="10"/>
    </row>
    <row r="39" spans="3:16" ht="22.5" customHeight="1" x14ac:dyDescent="0.25">
      <c r="C39" s="12"/>
      <c r="D39" s="10"/>
      <c r="E39" s="10"/>
      <c r="K39" s="10"/>
      <c r="L39" s="10"/>
      <c r="M39" s="13"/>
      <c r="N39"/>
      <c r="O39"/>
      <c r="P39"/>
    </row>
    <row r="40" spans="3:16" ht="22.5" customHeight="1" x14ac:dyDescent="0.25">
      <c r="C40" s="12"/>
      <c r="D40" s="10"/>
      <c r="E40" s="10"/>
      <c r="K40" s="10"/>
      <c r="L40" s="10"/>
      <c r="M40" s="10"/>
    </row>
    <row r="41" spans="3:16" ht="22.5" customHeight="1" x14ac:dyDescent="0.25">
      <c r="C41" s="12"/>
      <c r="D41" s="10"/>
      <c r="E41" s="10"/>
      <c r="K41" s="10"/>
      <c r="L41" s="10"/>
      <c r="M41" s="10"/>
    </row>
    <row r="42" spans="3:16" ht="22.5" customHeight="1" x14ac:dyDescent="0.25">
      <c r="C42" s="12"/>
      <c r="D42" s="10"/>
      <c r="E42" s="10"/>
      <c r="K42" s="10"/>
      <c r="L42" s="10"/>
      <c r="M42" s="10"/>
    </row>
    <row r="43" spans="3:16" ht="22.5" customHeight="1" x14ac:dyDescent="0.25">
      <c r="C43" s="12"/>
      <c r="D43" s="10"/>
      <c r="E43" s="10"/>
      <c r="K43" s="10"/>
      <c r="L43" s="10"/>
      <c r="M43" s="10"/>
    </row>
    <row r="44" spans="3:16" ht="22.5" customHeight="1" x14ac:dyDescent="0.25">
      <c r="C44" s="12"/>
      <c r="D44" s="10"/>
      <c r="E44" s="10"/>
      <c r="K44" s="10"/>
      <c r="L44" s="10"/>
      <c r="M44" s="10"/>
    </row>
    <row r="45" spans="3:16" ht="22.5" customHeight="1" x14ac:dyDescent="0.25">
      <c r="C45" s="12"/>
      <c r="D45" s="10"/>
      <c r="E45" s="10"/>
      <c r="K45" s="10"/>
      <c r="L45" s="10"/>
      <c r="M45" s="10"/>
    </row>
    <row r="46" spans="3:16" ht="22.5" customHeight="1" x14ac:dyDescent="0.25">
      <c r="C46" s="12"/>
      <c r="D46" s="10"/>
      <c r="E46" s="10"/>
    </row>
    <row r="47" spans="3:16" ht="22.5" customHeight="1" x14ac:dyDescent="0.25">
      <c r="C47" s="12"/>
      <c r="D47" s="10"/>
      <c r="E47" s="10"/>
    </row>
    <row r="48" spans="3:16" ht="22.5" customHeight="1" x14ac:dyDescent="0.25">
      <c r="C48" s="12"/>
      <c r="D48" s="10"/>
      <c r="E48" s="10"/>
    </row>
  </sheetData>
  <mergeCells count="13">
    <mergeCell ref="A2:N2"/>
    <mergeCell ref="A4:A11"/>
    <mergeCell ref="B4:N4"/>
    <mergeCell ref="B10:N10"/>
    <mergeCell ref="A12:B12"/>
    <mergeCell ref="A20:A25"/>
    <mergeCell ref="B20:N20"/>
    <mergeCell ref="B24:N24"/>
    <mergeCell ref="A26:B26"/>
    <mergeCell ref="A13:A18"/>
    <mergeCell ref="B13:N13"/>
    <mergeCell ref="B17:N17"/>
    <mergeCell ref="A19:B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zoomScale="85" zoomScaleNormal="85" workbookViewId="0">
      <pane xSplit="2" ySplit="4" topLeftCell="F11" activePane="bottomRight" state="frozen"/>
      <selection activeCell="P14" sqref="P14:P18"/>
      <selection pane="topRight" activeCell="P14" sqref="P14:P18"/>
      <selection pane="bottomLeft" activeCell="P14" sqref="P14:P18"/>
      <selection pane="bottomRight" activeCell="P14" sqref="P14:P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12.5703125" style="1" bestFit="1" customWidth="1"/>
    <col min="17" max="16384" width="9.140625" style="1"/>
  </cols>
  <sheetData>
    <row r="2" spans="1:14" ht="42.7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2" t="s">
        <v>25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3"/>
      <c r="B5" s="7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2.5" customHeight="1" x14ac:dyDescent="0.25">
      <c r="A6" s="23"/>
      <c r="B6" s="7" t="s">
        <v>14</v>
      </c>
      <c r="C6" s="6">
        <v>8863868</v>
      </c>
      <c r="D6" s="6">
        <v>7551821</v>
      </c>
      <c r="E6" s="6">
        <v>8519638</v>
      </c>
      <c r="F6" s="6">
        <v>7141577</v>
      </c>
      <c r="G6" s="6">
        <v>6740100</v>
      </c>
      <c r="H6" s="6">
        <v>5276760</v>
      </c>
      <c r="I6" s="6">
        <v>6433785</v>
      </c>
      <c r="J6" s="6">
        <v>4852343</v>
      </c>
      <c r="K6" s="6">
        <v>6038685</v>
      </c>
      <c r="L6" s="6">
        <v>7011333</v>
      </c>
      <c r="M6" s="6">
        <v>8467827</v>
      </c>
      <c r="N6" s="6">
        <v>8799055</v>
      </c>
    </row>
    <row r="7" spans="1:14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2.5" customHeight="1" x14ac:dyDescent="0.25">
      <c r="A8" s="23"/>
      <c r="B8" s="7" t="s">
        <v>16</v>
      </c>
      <c r="C8" s="6">
        <f>1767+3651</f>
        <v>5418</v>
      </c>
      <c r="D8" s="6">
        <f>1418+3197</f>
        <v>4615</v>
      </c>
      <c r="E8" s="6">
        <f>1239+3176</f>
        <v>4415</v>
      </c>
      <c r="F8" s="6">
        <v>774</v>
      </c>
      <c r="G8" s="6">
        <v>860</v>
      </c>
      <c r="H8" s="6">
        <v>746</v>
      </c>
      <c r="I8" s="6">
        <v>464</v>
      </c>
      <c r="J8" s="6">
        <v>465</v>
      </c>
      <c r="K8" s="6">
        <v>643</v>
      </c>
      <c r="L8" s="6">
        <v>1066</v>
      </c>
      <c r="M8" s="6">
        <v>1533</v>
      </c>
      <c r="N8" s="6">
        <v>1912</v>
      </c>
    </row>
    <row r="9" spans="1:14" ht="22.5" customHeight="1" x14ac:dyDescent="0.25">
      <c r="A9" s="23"/>
      <c r="B9" s="7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8"/>
      <c r="C11" s="6">
        <f>142174+5917</f>
        <v>148091</v>
      </c>
      <c r="D11" s="6">
        <f>119244+3690</f>
        <v>122934</v>
      </c>
      <c r="E11" s="6">
        <f>107837+3389</f>
        <v>111226</v>
      </c>
      <c r="F11" s="6">
        <v>82283</v>
      </c>
      <c r="G11" s="6">
        <v>5367</v>
      </c>
      <c r="H11" s="6">
        <v>3428</v>
      </c>
      <c r="I11" s="6">
        <v>3206</v>
      </c>
      <c r="J11" s="6">
        <v>3515</v>
      </c>
      <c r="K11" s="6">
        <v>4006</v>
      </c>
      <c r="L11" s="6">
        <v>4797</v>
      </c>
      <c r="M11" s="6">
        <v>6129</v>
      </c>
      <c r="N11" s="6">
        <v>9320</v>
      </c>
    </row>
    <row r="12" spans="1:14" ht="22.5" customHeight="1" x14ac:dyDescent="0.25">
      <c r="A12" s="27" t="s">
        <v>18</v>
      </c>
      <c r="B12" s="28"/>
      <c r="C12" s="9">
        <f t="shared" ref="C12:N12" si="0">SUM(C5:C9,C11)</f>
        <v>9017377</v>
      </c>
      <c r="D12" s="9">
        <f t="shared" si="0"/>
        <v>7679370</v>
      </c>
      <c r="E12" s="9">
        <f t="shared" si="0"/>
        <v>8635279</v>
      </c>
      <c r="F12" s="9">
        <f t="shared" si="0"/>
        <v>7224634</v>
      </c>
      <c r="G12" s="9">
        <f>SUM(G5:G9,G11)</f>
        <v>6746327</v>
      </c>
      <c r="H12" s="9">
        <f>SUM(H5:H9,H11)</f>
        <v>5280934</v>
      </c>
      <c r="I12" s="9">
        <f t="shared" ref="I12:K12" si="1">SUM(I5:I9,I11)</f>
        <v>6437455</v>
      </c>
      <c r="J12" s="9">
        <f t="shared" si="1"/>
        <v>4856323</v>
      </c>
      <c r="K12" s="9">
        <f t="shared" si="1"/>
        <v>6043334</v>
      </c>
      <c r="L12" s="9">
        <f t="shared" si="0"/>
        <v>7017196</v>
      </c>
      <c r="M12" s="9">
        <f t="shared" si="0"/>
        <v>8475489</v>
      </c>
      <c r="N12" s="9">
        <f t="shared" si="0"/>
        <v>8810287</v>
      </c>
    </row>
    <row r="13" spans="1:14" ht="22.5" customHeight="1" x14ac:dyDescent="0.25">
      <c r="A13" s="22" t="s">
        <v>27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22.5" customHeight="1" x14ac:dyDescent="0.25">
      <c r="A14" s="23"/>
      <c r="B14" s="7" t="s">
        <v>15</v>
      </c>
      <c r="C14" s="6">
        <v>207773</v>
      </c>
      <c r="D14" s="6">
        <v>190399</v>
      </c>
      <c r="E14" s="6">
        <v>131608</v>
      </c>
      <c r="F14" s="6">
        <v>79520</v>
      </c>
      <c r="G14" s="6">
        <v>77332</v>
      </c>
      <c r="H14" s="6">
        <v>43074</v>
      </c>
      <c r="I14" s="6">
        <v>77344</v>
      </c>
      <c r="J14" s="6">
        <v>78436</v>
      </c>
      <c r="K14" s="6">
        <v>78863</v>
      </c>
      <c r="L14" s="6">
        <v>110753</v>
      </c>
      <c r="M14" s="6">
        <v>131228</v>
      </c>
      <c r="N14" s="6">
        <v>179758</v>
      </c>
    </row>
    <row r="15" spans="1:14" ht="22.5" customHeight="1" x14ac:dyDescent="0.25">
      <c r="A15" s="23"/>
      <c r="B15" s="7" t="s">
        <v>16</v>
      </c>
      <c r="C15" s="6">
        <f>629636+4749</f>
        <v>634385</v>
      </c>
      <c r="D15" s="6">
        <f>556198+4652</f>
        <v>560850</v>
      </c>
      <c r="E15" s="6">
        <f>582186+5246</f>
        <v>587432</v>
      </c>
      <c r="F15" s="6">
        <v>457727</v>
      </c>
      <c r="G15" s="6">
        <v>392114</v>
      </c>
      <c r="H15" s="14">
        <v>255947</v>
      </c>
      <c r="I15" s="6">
        <v>248014</v>
      </c>
      <c r="J15" s="6">
        <v>230009</v>
      </c>
      <c r="K15" s="6">
        <v>358151</v>
      </c>
      <c r="L15" s="6">
        <v>570098</v>
      </c>
      <c r="M15" s="6">
        <v>581198</v>
      </c>
      <c r="N15" s="6">
        <v>691800</v>
      </c>
    </row>
    <row r="16" spans="1:14" ht="22.5" customHeight="1" x14ac:dyDescent="0.25">
      <c r="A16" s="23"/>
      <c r="B16" s="7" t="s">
        <v>17</v>
      </c>
      <c r="C16" s="6">
        <v>472204</v>
      </c>
      <c r="D16" s="6">
        <v>391217</v>
      </c>
      <c r="E16" s="6">
        <v>357097</v>
      </c>
      <c r="F16" s="6">
        <v>276624</v>
      </c>
      <c r="G16" s="6">
        <v>252691</v>
      </c>
      <c r="H16" s="6">
        <v>198795</v>
      </c>
      <c r="I16" s="6">
        <v>194516</v>
      </c>
      <c r="J16" s="6">
        <v>194293</v>
      </c>
      <c r="K16" s="6">
        <v>195208</v>
      </c>
      <c r="L16" s="6">
        <v>253451</v>
      </c>
      <c r="M16" s="6">
        <v>315851</v>
      </c>
      <c r="N16" s="6">
        <v>397155</v>
      </c>
    </row>
    <row r="17" spans="1:14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22.5" customHeight="1" x14ac:dyDescent="0.25">
      <c r="A18" s="23"/>
      <c r="B18" s="8"/>
      <c r="C18" s="6">
        <f>1571537+21980</f>
        <v>1593517</v>
      </c>
      <c r="D18" s="6">
        <f>1860756+20713</f>
        <v>1881469</v>
      </c>
      <c r="E18" s="6">
        <f>1482758+20123</f>
        <v>1502881</v>
      </c>
      <c r="F18" s="6">
        <f>198745+475397+22570+736694</f>
        <v>1433406</v>
      </c>
      <c r="G18" s="6">
        <v>1420329</v>
      </c>
      <c r="H18" s="6">
        <v>946017</v>
      </c>
      <c r="I18" s="6">
        <v>1085858</v>
      </c>
      <c r="J18" s="6">
        <v>1003139</v>
      </c>
      <c r="K18" s="6">
        <v>1224312</v>
      </c>
      <c r="L18" s="6">
        <v>1277428</v>
      </c>
      <c r="M18" s="6">
        <v>1509444</v>
      </c>
      <c r="N18" s="6">
        <v>1884808</v>
      </c>
    </row>
    <row r="19" spans="1:14" ht="22.5" customHeight="1" x14ac:dyDescent="0.25">
      <c r="A19" s="27" t="s">
        <v>18</v>
      </c>
      <c r="B19" s="28"/>
      <c r="C19" s="9">
        <f t="shared" ref="C19:N19" si="2">SUM(C14:C16,C18)</f>
        <v>2907879</v>
      </c>
      <c r="D19" s="9">
        <f t="shared" si="2"/>
        <v>3023935</v>
      </c>
      <c r="E19" s="9">
        <f t="shared" si="2"/>
        <v>2579018</v>
      </c>
      <c r="F19" s="9">
        <f t="shared" si="2"/>
        <v>2247277</v>
      </c>
      <c r="G19" s="9">
        <f t="shared" si="2"/>
        <v>2142466</v>
      </c>
      <c r="H19" s="9">
        <f t="shared" si="2"/>
        <v>1443833</v>
      </c>
      <c r="I19" s="9">
        <f t="shared" si="2"/>
        <v>1605732</v>
      </c>
      <c r="J19" s="9">
        <f t="shared" si="2"/>
        <v>1505877</v>
      </c>
      <c r="K19" s="9">
        <f t="shared" si="2"/>
        <v>1856534</v>
      </c>
      <c r="L19" s="9">
        <f t="shared" si="2"/>
        <v>2211730</v>
      </c>
      <c r="M19" s="9">
        <f t="shared" si="2"/>
        <v>2537721</v>
      </c>
      <c r="N19" s="9">
        <f t="shared" si="2"/>
        <v>3153521</v>
      </c>
    </row>
    <row r="20" spans="1:14" ht="22.5" customHeight="1" x14ac:dyDescent="0.25">
      <c r="A20" s="22" t="s">
        <v>30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2.5" customHeight="1" x14ac:dyDescent="0.25">
      <c r="A22" s="23"/>
      <c r="B22" s="7" t="s">
        <v>16</v>
      </c>
      <c r="C22" s="6">
        <f>83979+14301+6270+14008</f>
        <v>118558</v>
      </c>
      <c r="D22" s="6">
        <f>70589+14333+7448+12288</f>
        <v>104658</v>
      </c>
      <c r="E22" s="6">
        <f>64980+14864+7027+13189</f>
        <v>100060</v>
      </c>
      <c r="F22" s="6">
        <f>60006+6664+6976+11141</f>
        <v>84787</v>
      </c>
      <c r="G22" s="6">
        <f>56022+8519+4755+13189</f>
        <v>82485</v>
      </c>
      <c r="H22" s="6">
        <f>57465+8699+5471+8847</f>
        <v>80482</v>
      </c>
      <c r="I22" s="6">
        <f>61212+11626+3577+11059</f>
        <v>87474</v>
      </c>
      <c r="J22" s="6">
        <v>82742</v>
      </c>
      <c r="K22" s="6">
        <v>75606</v>
      </c>
      <c r="L22" s="6">
        <v>89802</v>
      </c>
      <c r="M22" s="6">
        <v>98291</v>
      </c>
      <c r="N22" s="6">
        <v>122228</v>
      </c>
    </row>
    <row r="23" spans="1:14" ht="22.5" customHeight="1" x14ac:dyDescent="0.25">
      <c r="A23" s="23"/>
      <c r="B23" s="7" t="s">
        <v>17</v>
      </c>
      <c r="C23" s="6">
        <v>986</v>
      </c>
      <c r="D23" s="6">
        <f>639</f>
        <v>639</v>
      </c>
      <c r="E23" s="6">
        <v>807</v>
      </c>
      <c r="F23" s="6">
        <v>825</v>
      </c>
      <c r="G23" s="6">
        <v>1049</v>
      </c>
      <c r="H23" s="6">
        <v>735</v>
      </c>
      <c r="I23" s="6">
        <v>607</v>
      </c>
      <c r="J23" s="6">
        <v>518</v>
      </c>
      <c r="K23" s="6">
        <v>280</v>
      </c>
      <c r="L23" s="6">
        <v>379</v>
      </c>
      <c r="M23" s="6">
        <v>478</v>
      </c>
      <c r="N23" s="6">
        <v>482</v>
      </c>
    </row>
    <row r="24" spans="1:14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22.5" customHeight="1" x14ac:dyDescent="0.25">
      <c r="A25" s="23"/>
      <c r="B25" s="8"/>
      <c r="C25" s="6">
        <f>195+2630</f>
        <v>2825</v>
      </c>
      <c r="D25" s="6">
        <f>203+2753</f>
        <v>2956</v>
      </c>
      <c r="E25" s="6">
        <f>4943+313</f>
        <v>5256</v>
      </c>
      <c r="F25" s="6">
        <f>85+3746</f>
        <v>3831</v>
      </c>
      <c r="G25" s="6">
        <f>116+5226</f>
        <v>5342</v>
      </c>
      <c r="H25" s="6">
        <f>84+2995</f>
        <v>3079</v>
      </c>
      <c r="I25" s="6">
        <f>65+1863</f>
        <v>1928</v>
      </c>
      <c r="J25" s="6">
        <v>9876</v>
      </c>
      <c r="K25" s="6">
        <v>4441</v>
      </c>
      <c r="L25" s="6">
        <v>3539</v>
      </c>
      <c r="M25" s="6">
        <v>6443</v>
      </c>
      <c r="N25" s="6">
        <v>2434</v>
      </c>
    </row>
    <row r="26" spans="1:14" ht="22.5" customHeight="1" x14ac:dyDescent="0.25">
      <c r="A26" s="27" t="s">
        <v>18</v>
      </c>
      <c r="B26" s="28"/>
      <c r="C26" s="9">
        <f t="shared" ref="C26:M26" si="3">SUM(C21:C23,C25)</f>
        <v>122369</v>
      </c>
      <c r="D26" s="9">
        <f t="shared" si="3"/>
        <v>108253</v>
      </c>
      <c r="E26" s="9">
        <f t="shared" si="3"/>
        <v>106123</v>
      </c>
      <c r="F26" s="9">
        <f t="shared" si="3"/>
        <v>89443</v>
      </c>
      <c r="G26" s="9">
        <f t="shared" si="3"/>
        <v>88876</v>
      </c>
      <c r="H26" s="9">
        <f t="shared" si="3"/>
        <v>84296</v>
      </c>
      <c r="I26" s="9">
        <f t="shared" si="3"/>
        <v>90009</v>
      </c>
      <c r="J26" s="9">
        <f t="shared" si="3"/>
        <v>93136</v>
      </c>
      <c r="K26" s="9">
        <f t="shared" si="3"/>
        <v>80327</v>
      </c>
      <c r="L26" s="9">
        <f t="shared" si="3"/>
        <v>93720</v>
      </c>
      <c r="M26" s="9">
        <f t="shared" si="3"/>
        <v>105212</v>
      </c>
      <c r="N26" s="9">
        <f>SUM(N21:N23,N25)</f>
        <v>125144</v>
      </c>
    </row>
    <row r="27" spans="1:14" ht="22.5" customHeight="1" x14ac:dyDescent="0.25">
      <c r="A27" s="22" t="s">
        <v>31</v>
      </c>
      <c r="B27" s="2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22.5" customHeight="1" x14ac:dyDescent="0.25">
      <c r="A28" s="23"/>
      <c r="B28" s="7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22.5" customHeight="1" x14ac:dyDescent="0.25">
      <c r="A29" s="23"/>
      <c r="B29" s="7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22.5" customHeight="1" x14ac:dyDescent="0.25">
      <c r="A30" s="23"/>
      <c r="B30" s="7" t="s">
        <v>17</v>
      </c>
      <c r="C30" s="6">
        <v>31200</v>
      </c>
      <c r="D30" s="6">
        <v>29716</v>
      </c>
      <c r="E30" s="6">
        <v>27089</v>
      </c>
      <c r="F30" s="6">
        <v>22317</v>
      </c>
      <c r="G30" s="6">
        <v>17353</v>
      </c>
      <c r="H30" s="6">
        <v>9983</v>
      </c>
      <c r="I30" s="6">
        <v>8914</v>
      </c>
      <c r="J30" s="6">
        <v>11972</v>
      </c>
      <c r="K30" s="6">
        <v>17552</v>
      </c>
      <c r="L30" s="6">
        <v>21592</v>
      </c>
      <c r="M30" s="6">
        <v>17970</v>
      </c>
      <c r="N30" s="6">
        <v>23190</v>
      </c>
    </row>
    <row r="31" spans="1:14" ht="22.5" customHeight="1" x14ac:dyDescent="0.25">
      <c r="A31" s="23"/>
      <c r="B31" s="24" t="s">
        <v>21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22.5" customHeight="1" x14ac:dyDescent="0.25">
      <c r="A32" s="23"/>
      <c r="B32" s="8"/>
      <c r="C32" s="6">
        <v>546</v>
      </c>
      <c r="D32" s="6">
        <v>371.03029500000002</v>
      </c>
      <c r="E32" s="6">
        <v>257.02083299999998</v>
      </c>
      <c r="F32" s="6">
        <v>445</v>
      </c>
      <c r="G32" s="6">
        <v>326.02656000000002</v>
      </c>
      <c r="H32" s="6">
        <v>246.01992000000001</v>
      </c>
      <c r="I32" s="6">
        <v>251.02033499999999</v>
      </c>
      <c r="J32" s="6">
        <v>306.0249</v>
      </c>
      <c r="K32" s="6">
        <v>306.0249</v>
      </c>
      <c r="L32" s="6">
        <v>776.06390999999996</v>
      </c>
      <c r="M32" s="6">
        <v>506</v>
      </c>
      <c r="N32" s="6">
        <v>306</v>
      </c>
    </row>
    <row r="33" spans="1:16" ht="22.5" customHeight="1" x14ac:dyDescent="0.25">
      <c r="A33" s="27" t="s">
        <v>18</v>
      </c>
      <c r="B33" s="28"/>
      <c r="C33" s="9">
        <f t="shared" ref="C33:M33" si="4">SUM(C28:C30,C32)</f>
        <v>31746</v>
      </c>
      <c r="D33" s="9">
        <f t="shared" si="4"/>
        <v>30087.030295</v>
      </c>
      <c r="E33" s="9">
        <f t="shared" si="4"/>
        <v>27346.020832999999</v>
      </c>
      <c r="F33" s="9">
        <f t="shared" si="4"/>
        <v>22762</v>
      </c>
      <c r="G33" s="9">
        <f t="shared" si="4"/>
        <v>17679.026559999998</v>
      </c>
      <c r="H33" s="9">
        <f t="shared" si="4"/>
        <v>10229.019920000001</v>
      </c>
      <c r="I33" s="9">
        <f t="shared" si="4"/>
        <v>9165.0203349999992</v>
      </c>
      <c r="J33" s="9">
        <f t="shared" si="4"/>
        <v>12278.0249</v>
      </c>
      <c r="K33" s="9">
        <f t="shared" si="4"/>
        <v>17858.0249</v>
      </c>
      <c r="L33" s="9">
        <f t="shared" si="4"/>
        <v>22368.063910000001</v>
      </c>
      <c r="M33" s="9">
        <f t="shared" si="4"/>
        <v>18476</v>
      </c>
      <c r="N33" s="9">
        <f>SUM(N28:N30,N32)</f>
        <v>23496</v>
      </c>
    </row>
    <row r="34" spans="1:16" ht="22.5" customHeight="1" x14ac:dyDescent="0.25">
      <c r="C34" s="12"/>
      <c r="D34" s="10"/>
      <c r="E34" s="10"/>
      <c r="H34" s="12"/>
      <c r="K34" s="10"/>
      <c r="L34" s="10"/>
      <c r="M34" s="10"/>
      <c r="N34" s="10"/>
    </row>
    <row r="35" spans="1:16" ht="22.5" customHeight="1" x14ac:dyDescent="0.25">
      <c r="C35" s="12"/>
      <c r="D35" s="10"/>
      <c r="E35" s="10"/>
      <c r="K35" s="10"/>
      <c r="L35" s="10"/>
      <c r="M35" s="10"/>
      <c r="N35" s="10"/>
    </row>
    <row r="36" spans="1:16" ht="22.5" customHeight="1" x14ac:dyDescent="0.25">
      <c r="C36" s="12"/>
      <c r="D36" s="10"/>
      <c r="E36" s="10"/>
      <c r="G36" s="10"/>
      <c r="K36" s="10"/>
      <c r="L36" s="10"/>
      <c r="M36" s="10"/>
      <c r="N36" s="10"/>
    </row>
    <row r="37" spans="1:16" ht="22.5" customHeight="1" x14ac:dyDescent="0.25">
      <c r="C37" s="12"/>
      <c r="D37" s="10"/>
      <c r="E37" s="10"/>
      <c r="K37" s="10"/>
      <c r="L37" s="10"/>
      <c r="M37" s="10"/>
      <c r="N37" s="10"/>
    </row>
    <row r="38" spans="1:16" ht="22.5" customHeight="1" x14ac:dyDescent="0.25">
      <c r="C38" s="12"/>
      <c r="D38" s="10"/>
      <c r="E38" s="10"/>
      <c r="K38" s="10"/>
      <c r="L38" s="10"/>
      <c r="M38" s="10"/>
      <c r="N38" s="10"/>
    </row>
    <row r="39" spans="1:16" ht="22.5" customHeight="1" x14ac:dyDescent="0.25">
      <c r="C39" s="12"/>
      <c r="D39" s="10"/>
      <c r="E39" s="10"/>
      <c r="K39" s="10"/>
      <c r="L39" s="10"/>
      <c r="M39" s="13"/>
      <c r="N39"/>
      <c r="O39"/>
      <c r="P39"/>
    </row>
    <row r="40" spans="1:16" ht="22.5" customHeight="1" x14ac:dyDescent="0.25">
      <c r="C40" s="12"/>
      <c r="D40" s="10"/>
      <c r="E40" s="10"/>
      <c r="K40" s="10"/>
      <c r="L40" s="10"/>
      <c r="M40" s="10"/>
    </row>
    <row r="41" spans="1:16" ht="22.5" customHeight="1" x14ac:dyDescent="0.25">
      <c r="C41" s="12"/>
      <c r="D41" s="10"/>
      <c r="E41" s="10"/>
      <c r="K41" s="10"/>
      <c r="L41" s="10"/>
      <c r="M41" s="10"/>
    </row>
    <row r="42" spans="1:16" ht="22.5" customHeight="1" x14ac:dyDescent="0.25">
      <c r="C42" s="12"/>
      <c r="D42" s="10"/>
      <c r="E42" s="10"/>
      <c r="K42" s="10"/>
      <c r="L42" s="10"/>
      <c r="M42" s="10"/>
    </row>
    <row r="43" spans="1:16" ht="22.5" customHeight="1" x14ac:dyDescent="0.25">
      <c r="C43" s="12"/>
      <c r="D43" s="10"/>
      <c r="E43" s="10"/>
      <c r="K43" s="10"/>
      <c r="L43" s="10"/>
      <c r="M43" s="10"/>
    </row>
    <row r="44" spans="1:16" ht="22.5" customHeight="1" x14ac:dyDescent="0.25">
      <c r="C44" s="12"/>
      <c r="D44" s="10"/>
      <c r="E44" s="10"/>
      <c r="K44" s="10"/>
      <c r="L44" s="10"/>
      <c r="M44" s="10"/>
    </row>
    <row r="45" spans="1:16" ht="22.5" customHeight="1" x14ac:dyDescent="0.25">
      <c r="C45" s="12"/>
      <c r="D45" s="10"/>
      <c r="E45" s="10"/>
      <c r="K45" s="10"/>
      <c r="L45" s="10"/>
      <c r="M45" s="10"/>
    </row>
    <row r="46" spans="1:16" ht="22.5" customHeight="1" x14ac:dyDescent="0.25">
      <c r="C46" s="12"/>
      <c r="D46" s="10"/>
      <c r="E46" s="10"/>
    </row>
    <row r="47" spans="1:16" ht="22.5" customHeight="1" x14ac:dyDescent="0.25">
      <c r="C47" s="12"/>
      <c r="D47" s="10"/>
      <c r="E47" s="10"/>
    </row>
    <row r="48" spans="1:16" ht="22.5" customHeight="1" x14ac:dyDescent="0.25">
      <c r="C48" s="12"/>
      <c r="D48" s="10"/>
      <c r="E48" s="10"/>
    </row>
  </sheetData>
  <mergeCells count="17">
    <mergeCell ref="A27:A32"/>
    <mergeCell ref="B27:N27"/>
    <mergeCell ref="B31:N31"/>
    <mergeCell ref="A33:B33"/>
    <mergeCell ref="A13:A18"/>
    <mergeCell ref="B13:N13"/>
    <mergeCell ref="B17:N17"/>
    <mergeCell ref="A19:B19"/>
    <mergeCell ref="A20:A25"/>
    <mergeCell ref="B20:N20"/>
    <mergeCell ref="B24:N24"/>
    <mergeCell ref="A26:B26"/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zoomScale="70" zoomScaleNormal="70" workbookViewId="0">
      <pane xSplit="2" ySplit="4" topLeftCell="D5" activePane="bottomRight" state="frozen"/>
      <selection activeCell="P14" sqref="P14:P18"/>
      <selection pane="topRight" activeCell="P14" sqref="P14:P18"/>
      <selection pane="bottomLeft" activeCell="P14" sqref="P14:P18"/>
      <selection pane="bottomRight" activeCell="R7" sqref="R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9.140625" style="16"/>
    <col min="16" max="16" width="12.5703125" style="16" bestFit="1" customWidth="1"/>
    <col min="17" max="17" width="10.42578125" style="16" bestFit="1" customWidth="1"/>
    <col min="18" max="16384" width="9.140625" style="1"/>
  </cols>
  <sheetData>
    <row r="2" spans="1:17" ht="20.25" customHeight="1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17"/>
      <c r="P3" s="17"/>
      <c r="Q3" s="17"/>
    </row>
    <row r="4" spans="1:17" ht="22.5" customHeight="1" x14ac:dyDescent="0.25">
      <c r="A4" s="22" t="s">
        <v>25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7" ht="22.5" customHeight="1" x14ac:dyDescent="0.25">
      <c r="A5" s="23"/>
      <c r="B5" s="7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7" ht="22.5" customHeight="1" x14ac:dyDescent="0.25">
      <c r="A6" s="23"/>
      <c r="B6" s="7" t="s">
        <v>14</v>
      </c>
      <c r="C6" s="6">
        <v>8812111</v>
      </c>
      <c r="D6" s="6">
        <v>7715134</v>
      </c>
      <c r="E6" s="6">
        <v>7627354</v>
      </c>
      <c r="F6" s="6">
        <v>7242137</v>
      </c>
      <c r="G6" s="6">
        <v>7313420</v>
      </c>
      <c r="H6" s="6">
        <v>6771157</v>
      </c>
      <c r="I6" s="6">
        <v>6767677</v>
      </c>
      <c r="J6" s="6">
        <v>5086628</v>
      </c>
      <c r="K6" s="6">
        <v>5292314</v>
      </c>
      <c r="L6" s="6">
        <v>7466136</v>
      </c>
      <c r="M6" s="6">
        <v>7970820</v>
      </c>
      <c r="N6" s="6">
        <v>7806878</v>
      </c>
      <c r="O6" s="16">
        <f>N6/M6</f>
        <v>0.97943222905547989</v>
      </c>
      <c r="Q6" s="15">
        <f>AVERAGE(D6:N6)</f>
        <v>7005423.1818181816</v>
      </c>
    </row>
    <row r="7" spans="1:17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15"/>
    </row>
    <row r="8" spans="1:17" ht="22.5" customHeight="1" x14ac:dyDescent="0.25">
      <c r="A8" s="23"/>
      <c r="B8" s="7" t="s">
        <v>16</v>
      </c>
      <c r="C8" s="6">
        <v>2395</v>
      </c>
      <c r="D8" s="6">
        <v>1721</v>
      </c>
      <c r="E8" s="6">
        <v>1239</v>
      </c>
      <c r="F8" s="6">
        <v>441</v>
      </c>
      <c r="G8" s="6">
        <v>757</v>
      </c>
      <c r="H8" s="6">
        <v>855</v>
      </c>
      <c r="I8" s="6">
        <v>794</v>
      </c>
      <c r="J8" s="6">
        <v>678</v>
      </c>
      <c r="K8" s="6">
        <v>740</v>
      </c>
      <c r="L8" s="6">
        <v>1001</v>
      </c>
      <c r="M8" s="6">
        <v>1277</v>
      </c>
      <c r="N8" s="6">
        <v>1552</v>
      </c>
      <c r="O8" s="16">
        <f>N8/M8</f>
        <v>1.2153484729835553</v>
      </c>
      <c r="Q8" s="15">
        <f t="shared" ref="Q8:Q32" si="0">AVERAGE(D8:N8)</f>
        <v>1005</v>
      </c>
    </row>
    <row r="9" spans="1:17" ht="22.5" customHeight="1" x14ac:dyDescent="0.25">
      <c r="A9" s="23"/>
      <c r="B9" s="7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15"/>
    </row>
    <row r="10" spans="1:17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Q10" s="15"/>
    </row>
    <row r="11" spans="1:17" ht="22.5" customHeight="1" x14ac:dyDescent="0.25">
      <c r="A11" s="23"/>
      <c r="B11" s="8"/>
      <c r="C11" s="6">
        <v>11556</v>
      </c>
      <c r="D11" s="6">
        <v>10112</v>
      </c>
      <c r="E11" s="6">
        <v>6001</v>
      </c>
      <c r="F11" s="6">
        <v>6061</v>
      </c>
      <c r="G11" s="6">
        <v>5573</v>
      </c>
      <c r="H11" s="6">
        <v>4551</v>
      </c>
      <c r="I11" s="6">
        <v>4606</v>
      </c>
      <c r="J11" s="6">
        <v>5128</v>
      </c>
      <c r="K11" s="6">
        <v>5498</v>
      </c>
      <c r="L11" s="6">
        <v>6050</v>
      </c>
      <c r="M11" s="6">
        <v>6039</v>
      </c>
      <c r="N11" s="6">
        <v>8219</v>
      </c>
      <c r="O11" s="16">
        <f>N11/M11</f>
        <v>1.3609869183639676</v>
      </c>
      <c r="Q11" s="15">
        <f t="shared" si="0"/>
        <v>6167.090909090909</v>
      </c>
    </row>
    <row r="12" spans="1:17" ht="22.5" customHeight="1" x14ac:dyDescent="0.25">
      <c r="A12" s="27" t="s">
        <v>18</v>
      </c>
      <c r="B12" s="28"/>
      <c r="C12" s="9">
        <f t="shared" ref="C12:N12" si="1">SUM(C5:C9,C11)</f>
        <v>8826062</v>
      </c>
      <c r="D12" s="9">
        <f t="shared" si="1"/>
        <v>7726967</v>
      </c>
      <c r="E12" s="9">
        <f t="shared" si="1"/>
        <v>7634594</v>
      </c>
      <c r="F12" s="9">
        <f t="shared" si="1"/>
        <v>7248639</v>
      </c>
      <c r="G12" s="9">
        <f>SUM(G5:G9,G11)</f>
        <v>7319750</v>
      </c>
      <c r="H12" s="9">
        <f>SUM(H5:H9,H11)</f>
        <v>6776563</v>
      </c>
      <c r="I12" s="9">
        <f t="shared" ref="I12:K12" si="2">SUM(I5:I9,I11)</f>
        <v>6773077</v>
      </c>
      <c r="J12" s="9">
        <f t="shared" si="2"/>
        <v>5092434</v>
      </c>
      <c r="K12" s="9">
        <f t="shared" si="2"/>
        <v>5298552</v>
      </c>
      <c r="L12" s="9">
        <f t="shared" si="1"/>
        <v>7473187</v>
      </c>
      <c r="M12" s="9">
        <f t="shared" si="1"/>
        <v>7978136</v>
      </c>
      <c r="N12" s="9">
        <f t="shared" si="1"/>
        <v>7816649</v>
      </c>
      <c r="Q12" s="15"/>
    </row>
    <row r="13" spans="1:17" ht="22.5" customHeight="1" x14ac:dyDescent="0.25">
      <c r="A13" s="22" t="s">
        <v>27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Q13" s="15"/>
    </row>
    <row r="14" spans="1:17" ht="22.5" customHeight="1" x14ac:dyDescent="0.25">
      <c r="A14" s="23"/>
      <c r="B14" s="7" t="s">
        <v>15</v>
      </c>
      <c r="C14" s="6">
        <v>151904</v>
      </c>
      <c r="D14" s="6">
        <v>122352</v>
      </c>
      <c r="E14" s="6">
        <v>96973</v>
      </c>
      <c r="F14" s="6">
        <v>82550</v>
      </c>
      <c r="G14" s="6">
        <v>55274</v>
      </c>
      <c r="H14" s="6">
        <v>36337</v>
      </c>
      <c r="I14" s="6">
        <v>72327</v>
      </c>
      <c r="J14" s="6">
        <v>82925</v>
      </c>
      <c r="K14" s="6">
        <v>109942</v>
      </c>
      <c r="L14" s="6">
        <v>117534</v>
      </c>
      <c r="M14" s="6">
        <v>159469</v>
      </c>
      <c r="N14" s="6">
        <v>160218</v>
      </c>
      <c r="O14" s="16">
        <f t="shared" ref="O14:O16" si="3">N14/M14</f>
        <v>1.0046968376298842</v>
      </c>
      <c r="P14" s="16">
        <f>H14/G14</f>
        <v>0.65739769150052463</v>
      </c>
      <c r="Q14" s="15"/>
    </row>
    <row r="15" spans="1:17" ht="22.5" customHeight="1" x14ac:dyDescent="0.25">
      <c r="A15" s="23"/>
      <c r="B15" s="7" t="s">
        <v>16</v>
      </c>
      <c r="C15" s="6">
        <v>682808</v>
      </c>
      <c r="D15" s="6">
        <v>650776</v>
      </c>
      <c r="E15" s="6">
        <v>604185</v>
      </c>
      <c r="F15" s="6">
        <v>560217</v>
      </c>
      <c r="G15" s="6">
        <v>358241</v>
      </c>
      <c r="H15" s="6">
        <v>302715</v>
      </c>
      <c r="I15" s="6">
        <v>315911</v>
      </c>
      <c r="J15" s="6">
        <v>320430</v>
      </c>
      <c r="K15" s="6">
        <v>325256</v>
      </c>
      <c r="L15" s="6">
        <v>515346</v>
      </c>
      <c r="M15" s="6">
        <v>510564</v>
      </c>
      <c r="N15" s="6">
        <v>547704</v>
      </c>
      <c r="O15" s="16">
        <f t="shared" si="3"/>
        <v>1.0727430841187393</v>
      </c>
      <c r="P15" s="16">
        <f t="shared" ref="P15:P18" si="4">H15/G15</f>
        <v>0.84500378236996887</v>
      </c>
      <c r="Q15" s="15"/>
    </row>
    <row r="16" spans="1:17" ht="22.5" customHeight="1" x14ac:dyDescent="0.25">
      <c r="A16" s="23"/>
      <c r="B16" s="7" t="s">
        <v>17</v>
      </c>
      <c r="C16" s="6">
        <v>388968</v>
      </c>
      <c r="D16" s="6">
        <v>374690</v>
      </c>
      <c r="E16" s="6">
        <v>313176</v>
      </c>
      <c r="F16" s="6">
        <v>253518</v>
      </c>
      <c r="G16" s="6">
        <v>228616</v>
      </c>
      <c r="H16" s="6">
        <v>175191</v>
      </c>
      <c r="I16" s="6">
        <v>178243</v>
      </c>
      <c r="J16" s="6">
        <v>183432</v>
      </c>
      <c r="K16" s="6">
        <v>209991</v>
      </c>
      <c r="L16" s="6">
        <v>267397</v>
      </c>
      <c r="M16" s="6">
        <v>300843</v>
      </c>
      <c r="N16" s="6">
        <v>342626</v>
      </c>
      <c r="O16" s="16">
        <f t="shared" si="3"/>
        <v>1.1388863958942039</v>
      </c>
      <c r="P16" s="16">
        <f t="shared" si="4"/>
        <v>0.76631119431710815</v>
      </c>
      <c r="Q16" s="15"/>
    </row>
    <row r="17" spans="1:17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P17" s="16" t="e">
        <f t="shared" si="4"/>
        <v>#DIV/0!</v>
      </c>
      <c r="Q17" s="15"/>
    </row>
    <row r="18" spans="1:17" ht="22.5" customHeight="1" x14ac:dyDescent="0.25">
      <c r="A18" s="23"/>
      <c r="B18" s="8"/>
      <c r="C18" s="6">
        <v>1887220</v>
      </c>
      <c r="D18" s="6">
        <v>1718738</v>
      </c>
      <c r="E18" s="6">
        <v>1399638</v>
      </c>
      <c r="F18" s="6">
        <v>1291589</v>
      </c>
      <c r="G18" s="6">
        <v>1255321</v>
      </c>
      <c r="H18" s="6">
        <v>1018498</v>
      </c>
      <c r="I18" s="6">
        <v>982002</v>
      </c>
      <c r="J18" s="6">
        <v>1035918.0000000001</v>
      </c>
      <c r="K18" s="6">
        <v>1129426</v>
      </c>
      <c r="L18" s="6">
        <v>1040419.0000000001</v>
      </c>
      <c r="M18" s="6">
        <v>1536583</v>
      </c>
      <c r="N18" s="6">
        <v>1586405</v>
      </c>
      <c r="O18" s="16">
        <f>N18/M18</f>
        <v>1.0324238911923405</v>
      </c>
      <c r="P18" s="16">
        <f t="shared" si="4"/>
        <v>0.81134466801718441</v>
      </c>
      <c r="Q18" s="15"/>
    </row>
    <row r="19" spans="1:17" ht="22.5" customHeight="1" x14ac:dyDescent="0.25">
      <c r="A19" s="27" t="s">
        <v>18</v>
      </c>
      <c r="B19" s="28"/>
      <c r="C19" s="9">
        <f t="shared" ref="C19:N19" si="5">SUM(C14:C16,C18)</f>
        <v>3110900</v>
      </c>
      <c r="D19" s="9">
        <f t="shared" si="5"/>
        <v>2866556</v>
      </c>
      <c r="E19" s="9">
        <f t="shared" si="5"/>
        <v>2413972</v>
      </c>
      <c r="F19" s="9">
        <f t="shared" si="5"/>
        <v>2187874</v>
      </c>
      <c r="G19" s="9">
        <f t="shared" si="5"/>
        <v>1897452</v>
      </c>
      <c r="H19" s="9">
        <f t="shared" si="5"/>
        <v>1532741</v>
      </c>
      <c r="I19" s="9">
        <f t="shared" si="5"/>
        <v>1548483</v>
      </c>
      <c r="J19" s="9">
        <f t="shared" si="5"/>
        <v>1622705</v>
      </c>
      <c r="K19" s="9">
        <f t="shared" si="5"/>
        <v>1774615</v>
      </c>
      <c r="L19" s="9">
        <f t="shared" si="5"/>
        <v>1940696</v>
      </c>
      <c r="M19" s="9">
        <f t="shared" si="5"/>
        <v>2507459</v>
      </c>
      <c r="N19" s="9">
        <f t="shared" si="5"/>
        <v>2636953</v>
      </c>
      <c r="Q19" s="15"/>
    </row>
    <row r="20" spans="1:17" ht="22.5" customHeight="1" x14ac:dyDescent="0.25">
      <c r="A20" s="22" t="s">
        <v>30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Q20" s="15"/>
    </row>
    <row r="21" spans="1:17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Q21" s="15"/>
    </row>
    <row r="22" spans="1:17" ht="22.5" customHeight="1" x14ac:dyDescent="0.25">
      <c r="A22" s="23"/>
      <c r="B22" s="7" t="s">
        <v>16</v>
      </c>
      <c r="C22" s="6">
        <v>113121</v>
      </c>
      <c r="D22" s="6">
        <v>95359</v>
      </c>
      <c r="E22" s="6">
        <v>71807</v>
      </c>
      <c r="F22" s="6">
        <v>87316</v>
      </c>
      <c r="G22" s="6">
        <v>68521</v>
      </c>
      <c r="H22" s="6">
        <v>60669</v>
      </c>
      <c r="I22" s="6">
        <v>80585</v>
      </c>
      <c r="J22" s="6">
        <v>72427</v>
      </c>
      <c r="K22" s="6">
        <v>76068</v>
      </c>
      <c r="L22" s="6">
        <v>75941</v>
      </c>
      <c r="M22" s="6">
        <v>86580</v>
      </c>
      <c r="N22" s="6">
        <v>102447</v>
      </c>
      <c r="O22" s="16">
        <f t="shared" ref="O22:O23" si="6">N22/M22</f>
        <v>1.1832640332640332</v>
      </c>
      <c r="Q22" s="15">
        <f t="shared" si="0"/>
        <v>79792.727272727279</v>
      </c>
    </row>
    <row r="23" spans="1:17" ht="22.5" customHeight="1" x14ac:dyDescent="0.25">
      <c r="A23" s="23"/>
      <c r="B23" s="7" t="s">
        <v>17</v>
      </c>
      <c r="C23" s="6">
        <v>333</v>
      </c>
      <c r="D23" s="6">
        <v>413</v>
      </c>
      <c r="E23" s="6">
        <v>3</v>
      </c>
      <c r="F23" s="6">
        <v>899</v>
      </c>
      <c r="G23" s="6">
        <v>464</v>
      </c>
      <c r="H23" s="6">
        <v>327</v>
      </c>
      <c r="I23" s="6">
        <v>419</v>
      </c>
      <c r="J23" s="6">
        <v>398</v>
      </c>
      <c r="K23" s="6">
        <v>338</v>
      </c>
      <c r="L23" s="6">
        <v>472</v>
      </c>
      <c r="M23" s="6">
        <v>425</v>
      </c>
      <c r="N23" s="6">
        <v>421</v>
      </c>
      <c r="O23" s="16">
        <f t="shared" si="6"/>
        <v>0.99058823529411766</v>
      </c>
      <c r="Q23" s="15">
        <f t="shared" si="0"/>
        <v>416.27272727272725</v>
      </c>
    </row>
    <row r="24" spans="1:17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Q24" s="15"/>
    </row>
    <row r="25" spans="1:17" ht="22.5" customHeight="1" x14ac:dyDescent="0.25">
      <c r="A25" s="23"/>
      <c r="B25" s="8"/>
      <c r="C25" s="6">
        <v>2329</v>
      </c>
      <c r="D25" s="6">
        <v>2368</v>
      </c>
      <c r="E25" s="6">
        <v>3013</v>
      </c>
      <c r="F25" s="6">
        <v>3135</v>
      </c>
      <c r="G25" s="6">
        <v>2985</v>
      </c>
      <c r="H25" s="6">
        <v>3542</v>
      </c>
      <c r="I25" s="6">
        <v>1991</v>
      </c>
      <c r="J25" s="6">
        <v>2311</v>
      </c>
      <c r="K25" s="6">
        <v>2272</v>
      </c>
      <c r="L25" s="6">
        <v>3614</v>
      </c>
      <c r="M25" s="6">
        <v>2947</v>
      </c>
      <c r="N25" s="6">
        <v>3988</v>
      </c>
      <c r="O25" s="16">
        <f>N25/M25</f>
        <v>1.3532405836443842</v>
      </c>
      <c r="Q25" s="15">
        <f t="shared" si="0"/>
        <v>2924.181818181818</v>
      </c>
    </row>
    <row r="26" spans="1:17" ht="22.5" customHeight="1" x14ac:dyDescent="0.25">
      <c r="A26" s="27" t="s">
        <v>18</v>
      </c>
      <c r="B26" s="28"/>
      <c r="C26" s="9">
        <f t="shared" ref="C26:M26" si="7">SUM(C21:C23,C25)</f>
        <v>115783</v>
      </c>
      <c r="D26" s="9">
        <f t="shared" si="7"/>
        <v>98140</v>
      </c>
      <c r="E26" s="9">
        <f t="shared" si="7"/>
        <v>74823</v>
      </c>
      <c r="F26" s="9">
        <f t="shared" si="7"/>
        <v>91350</v>
      </c>
      <c r="G26" s="9">
        <f t="shared" si="7"/>
        <v>71970</v>
      </c>
      <c r="H26" s="9">
        <f t="shared" si="7"/>
        <v>64538</v>
      </c>
      <c r="I26" s="9">
        <f t="shared" si="7"/>
        <v>82995</v>
      </c>
      <c r="J26" s="9">
        <f t="shared" si="7"/>
        <v>75136</v>
      </c>
      <c r="K26" s="9">
        <f t="shared" si="7"/>
        <v>78678</v>
      </c>
      <c r="L26" s="9">
        <f t="shared" si="7"/>
        <v>80027</v>
      </c>
      <c r="M26" s="9">
        <f t="shared" si="7"/>
        <v>89952</v>
      </c>
      <c r="N26" s="9">
        <f>SUM(N21:N23,N25)</f>
        <v>106856</v>
      </c>
      <c r="Q26" s="15"/>
    </row>
    <row r="27" spans="1:17" ht="22.5" customHeight="1" x14ac:dyDescent="0.25">
      <c r="A27" s="22" t="s">
        <v>31</v>
      </c>
      <c r="B27" s="2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Q27" s="15"/>
    </row>
    <row r="28" spans="1:17" ht="22.5" customHeight="1" x14ac:dyDescent="0.25">
      <c r="A28" s="23"/>
      <c r="B28" s="7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Q28" s="15"/>
    </row>
    <row r="29" spans="1:17" ht="22.5" customHeight="1" x14ac:dyDescent="0.25">
      <c r="A29" s="23"/>
      <c r="B29" s="7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Q29" s="15"/>
    </row>
    <row r="30" spans="1:17" ht="22.5" customHeight="1" x14ac:dyDescent="0.25">
      <c r="A30" s="23"/>
      <c r="B30" s="7" t="s">
        <v>17</v>
      </c>
      <c r="C30" s="6">
        <v>24803</v>
      </c>
      <c r="D30" s="6">
        <v>21115</v>
      </c>
      <c r="E30" s="6">
        <v>21930</v>
      </c>
      <c r="F30" s="6">
        <v>16142</v>
      </c>
      <c r="G30" s="6">
        <v>12291</v>
      </c>
      <c r="H30" s="6">
        <v>8256</v>
      </c>
      <c r="I30" s="6">
        <v>7194</v>
      </c>
      <c r="J30" s="6">
        <v>7983</v>
      </c>
      <c r="K30" s="6">
        <v>12097</v>
      </c>
      <c r="L30" s="6">
        <v>17335</v>
      </c>
      <c r="M30" s="6">
        <v>22167</v>
      </c>
      <c r="N30" s="6">
        <v>21314</v>
      </c>
      <c r="O30" s="16">
        <f>N30/M30</f>
        <v>0.96151937564848644</v>
      </c>
      <c r="Q30" s="15">
        <f t="shared" si="0"/>
        <v>15256.727272727272</v>
      </c>
    </row>
    <row r="31" spans="1:17" ht="22.5" customHeight="1" x14ac:dyDescent="0.25">
      <c r="A31" s="23"/>
      <c r="B31" s="24" t="s">
        <v>21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Q31" s="15"/>
    </row>
    <row r="32" spans="1:17" ht="22.5" customHeight="1" x14ac:dyDescent="0.25">
      <c r="A32" s="23"/>
      <c r="B32" s="8"/>
      <c r="C32" s="6">
        <v>441</v>
      </c>
      <c r="D32" s="6">
        <v>531</v>
      </c>
      <c r="E32" s="6">
        <v>256</v>
      </c>
      <c r="F32" s="6">
        <v>476</v>
      </c>
      <c r="G32" s="6">
        <v>406</v>
      </c>
      <c r="H32" s="6">
        <v>266</v>
      </c>
      <c r="I32" s="6">
        <v>206</v>
      </c>
      <c r="J32" s="6">
        <v>246</v>
      </c>
      <c r="K32" s="6">
        <v>226</v>
      </c>
      <c r="L32" s="6">
        <v>576.04731000000004</v>
      </c>
      <c r="M32" s="6">
        <v>436</v>
      </c>
      <c r="N32" s="6">
        <v>286</v>
      </c>
      <c r="O32" s="16">
        <f>N32/M32</f>
        <v>0.65596330275229353</v>
      </c>
      <c r="Q32" s="15">
        <f t="shared" si="0"/>
        <v>355.54975545454545</v>
      </c>
    </row>
    <row r="33" spans="1:16" ht="22.5" customHeight="1" x14ac:dyDescent="0.25">
      <c r="A33" s="27" t="s">
        <v>18</v>
      </c>
      <c r="B33" s="28"/>
      <c r="C33" s="9">
        <f t="shared" ref="C33:M33" si="8">SUM(C28:C30,C32)</f>
        <v>25244</v>
      </c>
      <c r="D33" s="9">
        <f t="shared" si="8"/>
        <v>21646</v>
      </c>
      <c r="E33" s="9">
        <f t="shared" si="8"/>
        <v>22186</v>
      </c>
      <c r="F33" s="9">
        <f t="shared" si="8"/>
        <v>16618</v>
      </c>
      <c r="G33" s="9">
        <f t="shared" si="8"/>
        <v>12697</v>
      </c>
      <c r="H33" s="9">
        <f t="shared" si="8"/>
        <v>8522</v>
      </c>
      <c r="I33" s="9">
        <f t="shared" si="8"/>
        <v>7400</v>
      </c>
      <c r="J33" s="9">
        <f t="shared" si="8"/>
        <v>8229</v>
      </c>
      <c r="K33" s="9">
        <f t="shared" si="8"/>
        <v>12323</v>
      </c>
      <c r="L33" s="9">
        <f t="shared" si="8"/>
        <v>17911.047310000002</v>
      </c>
      <c r="M33" s="9">
        <f t="shared" si="8"/>
        <v>22603</v>
      </c>
      <c r="N33" s="9">
        <f>SUM(N28:N30,N32)</f>
        <v>21600</v>
      </c>
    </row>
    <row r="34" spans="1:16" ht="22.5" customHeight="1" x14ac:dyDescent="0.25">
      <c r="C34" s="12"/>
      <c r="D34" s="10"/>
      <c r="E34" s="10"/>
      <c r="H34" s="12"/>
      <c r="K34" s="10"/>
      <c r="L34" s="10"/>
      <c r="M34" s="10"/>
      <c r="N34" s="10"/>
    </row>
    <row r="35" spans="1:16" ht="22.5" customHeight="1" x14ac:dyDescent="0.25">
      <c r="C35" s="12"/>
      <c r="D35" s="10"/>
      <c r="E35" s="10"/>
      <c r="K35" s="10"/>
      <c r="L35" s="10"/>
      <c r="M35" s="10"/>
      <c r="N35" s="10"/>
    </row>
    <row r="36" spans="1:16" ht="22.5" customHeight="1" x14ac:dyDescent="0.25">
      <c r="C36" s="12"/>
      <c r="D36" s="10"/>
      <c r="E36" s="10"/>
      <c r="G36" s="10"/>
      <c r="K36" s="10"/>
      <c r="L36" s="10"/>
      <c r="M36" s="10"/>
      <c r="N36" s="10"/>
    </row>
    <row r="37" spans="1:16" ht="22.5" customHeight="1" x14ac:dyDescent="0.25">
      <c r="C37" s="12"/>
      <c r="D37" s="10"/>
      <c r="E37" s="10"/>
      <c r="K37" s="10"/>
      <c r="L37" s="10"/>
      <c r="M37" s="10"/>
      <c r="N37" s="10"/>
    </row>
    <row r="38" spans="1:16" ht="22.5" customHeight="1" x14ac:dyDescent="0.25">
      <c r="C38" s="12"/>
      <c r="D38" s="10"/>
      <c r="E38" s="10"/>
      <c r="K38" s="10"/>
      <c r="L38" s="10"/>
      <c r="M38" s="10"/>
      <c r="N38" s="10"/>
    </row>
    <row r="39" spans="1:16" ht="22.5" customHeight="1" x14ac:dyDescent="0.25">
      <c r="C39" s="12"/>
      <c r="D39" s="10"/>
      <c r="E39" s="10"/>
      <c r="K39" s="10"/>
      <c r="L39" s="10"/>
      <c r="M39" s="13"/>
      <c r="N39"/>
      <c r="O39" s="18"/>
      <c r="P39" s="18"/>
    </row>
    <row r="40" spans="1:16" ht="22.5" customHeight="1" x14ac:dyDescent="0.25">
      <c r="C40" s="12"/>
      <c r="D40" s="10"/>
      <c r="E40" s="10"/>
      <c r="K40" s="10"/>
      <c r="L40" s="10"/>
      <c r="M40" s="10"/>
    </row>
    <row r="41" spans="1:16" ht="22.5" customHeight="1" x14ac:dyDescent="0.25">
      <c r="C41" s="12"/>
      <c r="D41" s="10"/>
      <c r="E41" s="10"/>
      <c r="K41" s="10"/>
      <c r="L41" s="10"/>
      <c r="M41" s="10"/>
    </row>
    <row r="42" spans="1:16" ht="22.5" customHeight="1" x14ac:dyDescent="0.25">
      <c r="C42" s="12"/>
      <c r="D42" s="10"/>
      <c r="E42" s="10"/>
      <c r="K42" s="10"/>
      <c r="L42" s="10"/>
      <c r="M42" s="10"/>
    </row>
    <row r="43" spans="1:16" ht="22.5" customHeight="1" x14ac:dyDescent="0.25">
      <c r="C43" s="12"/>
      <c r="D43" s="10"/>
      <c r="E43" s="10"/>
      <c r="K43" s="10"/>
      <c r="L43" s="10"/>
      <c r="M43" s="10"/>
    </row>
    <row r="44" spans="1:16" ht="22.5" customHeight="1" x14ac:dyDescent="0.25">
      <c r="C44" s="12"/>
      <c r="D44" s="10"/>
      <c r="E44" s="10"/>
      <c r="K44" s="10"/>
      <c r="L44" s="10"/>
      <c r="M44" s="10"/>
    </row>
    <row r="45" spans="1:16" ht="22.5" customHeight="1" x14ac:dyDescent="0.25">
      <c r="C45" s="12"/>
      <c r="D45" s="10"/>
      <c r="E45" s="10"/>
      <c r="K45" s="10"/>
      <c r="L45" s="10"/>
      <c r="M45" s="10"/>
    </row>
    <row r="46" spans="1:16" ht="22.5" customHeight="1" x14ac:dyDescent="0.25">
      <c r="C46" s="12"/>
      <c r="D46" s="10"/>
      <c r="E46" s="10"/>
    </row>
    <row r="47" spans="1:16" ht="22.5" customHeight="1" x14ac:dyDescent="0.25">
      <c r="C47" s="12"/>
      <c r="D47" s="10"/>
      <c r="E47" s="10"/>
    </row>
    <row r="48" spans="1:16" ht="22.5" customHeight="1" x14ac:dyDescent="0.25">
      <c r="C48" s="12"/>
      <c r="D48" s="10"/>
      <c r="E48" s="10"/>
    </row>
  </sheetData>
  <mergeCells count="17">
    <mergeCell ref="A13:A18"/>
    <mergeCell ref="B13:N13"/>
    <mergeCell ref="B17:N17"/>
    <mergeCell ref="A2:N2"/>
    <mergeCell ref="A4:A11"/>
    <mergeCell ref="B4:N4"/>
    <mergeCell ref="B10:N10"/>
    <mergeCell ref="A12:B12"/>
    <mergeCell ref="A33:B33"/>
    <mergeCell ref="A19:B19"/>
    <mergeCell ref="A20:A25"/>
    <mergeCell ref="B20:N20"/>
    <mergeCell ref="B24:N24"/>
    <mergeCell ref="A26:B26"/>
    <mergeCell ref="A27:A32"/>
    <mergeCell ref="B27:N27"/>
    <mergeCell ref="B31:N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32" sqref="W3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140625" style="1" customWidth="1"/>
    <col min="7" max="7" width="19.140625" style="1" hidden="1" customWidth="1"/>
    <col min="8" max="8" width="19.140625" style="1" customWidth="1"/>
    <col min="9" max="9" width="19.140625" style="1" hidden="1" customWidth="1"/>
    <col min="10" max="10" width="19.140625" style="1" customWidth="1"/>
    <col min="11" max="11" width="19.140625" style="1" hidden="1" customWidth="1"/>
    <col min="12" max="12" width="19.140625" style="1" customWidth="1"/>
    <col min="13" max="13" width="19.140625" style="1" hidden="1" customWidth="1"/>
    <col min="14" max="14" width="19.140625" style="1" customWidth="1"/>
    <col min="15" max="15" width="19.140625" style="1" hidden="1" customWidth="1"/>
    <col min="16" max="16" width="19.140625" style="1" customWidth="1"/>
    <col min="17" max="17" width="19.140625" style="1" hidden="1" customWidth="1"/>
    <col min="18" max="18" width="19.140625" style="1" customWidth="1"/>
    <col min="19" max="19" width="19.140625" style="1" hidden="1" customWidth="1"/>
    <col min="20" max="20" width="19.140625" style="1" customWidth="1"/>
    <col min="21" max="21" width="19.140625" style="1" hidden="1" customWidth="1"/>
    <col min="22" max="22" width="19.140625" style="1" customWidth="1"/>
    <col min="23" max="23" width="9.140625" style="16"/>
    <col min="24" max="24" width="12.5703125" style="1" bestFit="1" customWidth="1"/>
    <col min="25" max="16384" width="9.140625" style="1"/>
  </cols>
  <sheetData>
    <row r="2" spans="1:23" ht="20.2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3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  <c r="W3" s="17"/>
    </row>
    <row r="4" spans="1:23" ht="22.5" customHeight="1" x14ac:dyDescent="0.25">
      <c r="A4" s="22" t="s">
        <v>36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3" ht="22.5" customHeight="1" x14ac:dyDescent="0.25">
      <c r="A5" s="23"/>
      <c r="B5" s="7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ht="22.5" customHeight="1" x14ac:dyDescent="0.25">
      <c r="A6" s="23"/>
      <c r="B6" s="7" t="s">
        <v>14</v>
      </c>
      <c r="C6" s="6">
        <v>8106408</v>
      </c>
      <c r="D6" s="6">
        <v>7740601</v>
      </c>
      <c r="E6" s="6">
        <v>7914445</v>
      </c>
      <c r="F6" s="6">
        <v>6984975</v>
      </c>
      <c r="G6" s="6">
        <v>1.0098428129708124</v>
      </c>
      <c r="H6" s="6">
        <v>6572144</v>
      </c>
      <c r="I6" s="6">
        <v>0.92585370455956306</v>
      </c>
      <c r="J6" s="6">
        <v>6778114</v>
      </c>
      <c r="K6" s="6">
        <v>0.99948605533736701</v>
      </c>
      <c r="L6" s="6">
        <v>6157599</v>
      </c>
      <c r="M6" s="6">
        <v>0.75160620106426479</v>
      </c>
      <c r="N6" s="6">
        <v>5710815</v>
      </c>
      <c r="O6" s="6">
        <v>1.0404366114447527</v>
      </c>
      <c r="P6" s="6">
        <v>5102234</v>
      </c>
      <c r="Q6" s="6">
        <v>1.4107507604424077</v>
      </c>
      <c r="R6" s="6">
        <v>6512095</v>
      </c>
      <c r="S6" s="6">
        <v>1.0675964113163756</v>
      </c>
      <c r="T6" s="6">
        <v>6767374</v>
      </c>
      <c r="U6" s="6">
        <v>0.97943222905547989</v>
      </c>
      <c r="V6" s="6">
        <v>7530868</v>
      </c>
      <c r="W6" s="16">
        <f>'2021'!C6/'2020'!V6</f>
        <v>0.99054982772238209</v>
      </c>
    </row>
    <row r="7" spans="1:23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3" ht="22.5" customHeight="1" x14ac:dyDescent="0.25">
      <c r="A8" s="23"/>
      <c r="B8" s="7" t="s">
        <v>16</v>
      </c>
      <c r="C8" s="6">
        <v>8303</v>
      </c>
      <c r="D8" s="6">
        <v>186842</v>
      </c>
      <c r="E8" s="6">
        <v>87919</v>
      </c>
      <c r="F8" s="6">
        <v>127709</v>
      </c>
      <c r="G8" s="6">
        <v>1.7165532879818595</v>
      </c>
      <c r="H8" s="6">
        <v>65897</v>
      </c>
      <c r="I8" s="6">
        <v>1.1294583883751652</v>
      </c>
      <c r="J8" s="6">
        <v>37805</v>
      </c>
      <c r="K8" s="6">
        <v>0.92865497076023396</v>
      </c>
      <c r="L8" s="6">
        <v>26191</v>
      </c>
      <c r="M8" s="6">
        <v>0.853904282115869</v>
      </c>
      <c r="N8" s="6">
        <v>25894</v>
      </c>
      <c r="O8" s="6">
        <v>1.0914454277286136</v>
      </c>
      <c r="P8" s="6">
        <v>76787</v>
      </c>
      <c r="Q8" s="6">
        <v>1.3527027027027028</v>
      </c>
      <c r="R8" s="6">
        <v>140091</v>
      </c>
      <c r="S8" s="6">
        <v>1.2757242757242757</v>
      </c>
      <c r="T8" s="6">
        <v>167737</v>
      </c>
      <c r="U8" s="6">
        <v>1.2153484729835553</v>
      </c>
      <c r="V8" s="6">
        <v>116525</v>
      </c>
      <c r="W8" s="16">
        <f>'2021'!C8/'2020'!V8</f>
        <v>0.49769577343917615</v>
      </c>
    </row>
    <row r="9" spans="1:23" ht="22.5" customHeight="1" x14ac:dyDescent="0.25">
      <c r="A9" s="23"/>
      <c r="B9" s="7" t="s">
        <v>17</v>
      </c>
      <c r="C9" s="6"/>
      <c r="D9" s="6">
        <v>870</v>
      </c>
      <c r="E9" s="6">
        <v>869</v>
      </c>
      <c r="F9" s="6">
        <v>767</v>
      </c>
      <c r="G9" s="6"/>
      <c r="H9" s="6">
        <v>721</v>
      </c>
      <c r="I9" s="6">
        <f>H9/F9</f>
        <v>0.94002607561929596</v>
      </c>
      <c r="J9" s="6">
        <v>617</v>
      </c>
      <c r="K9" s="6">
        <f>J9/H9</f>
        <v>0.855755894590846</v>
      </c>
      <c r="L9" s="6">
        <v>618</v>
      </c>
      <c r="M9" s="6"/>
      <c r="N9" s="6">
        <v>485</v>
      </c>
      <c r="O9" s="6">
        <f>N9/L9</f>
        <v>0.78478964401294493</v>
      </c>
      <c r="P9" s="6">
        <v>974</v>
      </c>
      <c r="Q9" s="6">
        <f>P9/N9</f>
        <v>2.0082474226804123</v>
      </c>
      <c r="R9" s="6">
        <v>376</v>
      </c>
      <c r="S9" s="6"/>
      <c r="T9" s="6">
        <v>1242</v>
      </c>
      <c r="U9" s="6">
        <f>T9/R9</f>
        <v>3.3031914893617023</v>
      </c>
      <c r="V9" s="6">
        <v>685</v>
      </c>
      <c r="W9" s="16">
        <f>'2021'!C9/'2020'!V9</f>
        <v>2.4131386861313868</v>
      </c>
    </row>
    <row r="10" spans="1:23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3" ht="22.5" customHeight="1" x14ac:dyDescent="0.25">
      <c r="A11" s="23"/>
      <c r="B11" s="8"/>
      <c r="C11" s="6">
        <v>650430.00000000012</v>
      </c>
      <c r="D11" s="6">
        <v>623354</v>
      </c>
      <c r="E11" s="6">
        <v>501879</v>
      </c>
      <c r="F11" s="6">
        <v>499193</v>
      </c>
      <c r="G11" s="6">
        <v>0.91948523345982514</v>
      </c>
      <c r="H11" s="6">
        <v>367577.00000000006</v>
      </c>
      <c r="I11" s="6">
        <v>0.81661582630540108</v>
      </c>
      <c r="J11" s="6">
        <v>373355</v>
      </c>
      <c r="K11" s="6">
        <v>1.0120852559876949</v>
      </c>
      <c r="L11" s="6">
        <v>321279</v>
      </c>
      <c r="M11" s="6">
        <v>1.1133304385584022</v>
      </c>
      <c r="N11" s="6">
        <v>351927</v>
      </c>
      <c r="O11" s="6">
        <v>1.0721528861154446</v>
      </c>
      <c r="P11" s="6">
        <v>376081</v>
      </c>
      <c r="Q11" s="6">
        <v>1.1004001455074572</v>
      </c>
      <c r="R11" s="6">
        <v>472410</v>
      </c>
      <c r="S11" s="6">
        <v>0.99818181818181817</v>
      </c>
      <c r="T11" s="6">
        <v>513373</v>
      </c>
      <c r="U11" s="6">
        <v>1.3609869183639676</v>
      </c>
      <c r="V11" s="6">
        <v>604801</v>
      </c>
      <c r="W11" s="16">
        <f>'2021'!C11/'2020'!V11</f>
        <v>1.8979796660389119E-2</v>
      </c>
    </row>
    <row r="12" spans="1:23" ht="22.5" customHeight="1" x14ac:dyDescent="0.25">
      <c r="A12" s="27" t="s">
        <v>18</v>
      </c>
      <c r="B12" s="28"/>
      <c r="C12" s="9">
        <f t="shared" ref="C12:V12" si="0">SUM(C5:C9,C11)</f>
        <v>8765141</v>
      </c>
      <c r="D12" s="9">
        <f t="shared" si="0"/>
        <v>8551667</v>
      </c>
      <c r="E12" s="9">
        <f t="shared" si="0"/>
        <v>8505112</v>
      </c>
      <c r="F12" s="9">
        <f t="shared" si="0"/>
        <v>7612644</v>
      </c>
      <c r="G12" s="9"/>
      <c r="H12" s="9">
        <f>SUM(H5:H9,H11)</f>
        <v>7006339</v>
      </c>
      <c r="I12" s="9"/>
      <c r="J12" s="9">
        <f>SUM(J5:J9,J11)</f>
        <v>7189891</v>
      </c>
      <c r="K12" s="9"/>
      <c r="L12" s="9">
        <f t="shared" ref="L12:P12" si="1">SUM(L5:L9,L11)</f>
        <v>6505687</v>
      </c>
      <c r="M12" s="9"/>
      <c r="N12" s="9">
        <f t="shared" si="1"/>
        <v>6089121</v>
      </c>
      <c r="O12" s="9"/>
      <c r="P12" s="9">
        <f t="shared" si="1"/>
        <v>5556076</v>
      </c>
      <c r="Q12" s="9"/>
      <c r="R12" s="9">
        <f t="shared" si="0"/>
        <v>7124972</v>
      </c>
      <c r="S12" s="9"/>
      <c r="T12" s="9">
        <f t="shared" si="0"/>
        <v>7449726</v>
      </c>
      <c r="U12" s="9"/>
      <c r="V12" s="9">
        <f t="shared" si="0"/>
        <v>8252879</v>
      </c>
    </row>
    <row r="13" spans="1:23" ht="22.5" customHeight="1" x14ac:dyDescent="0.25">
      <c r="A13" s="22" t="s">
        <v>34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/>
    </row>
    <row r="14" spans="1:23" ht="22.5" customHeight="1" x14ac:dyDescent="0.25">
      <c r="A14" s="23"/>
      <c r="B14" s="7" t="s">
        <v>15</v>
      </c>
      <c r="C14" s="6"/>
      <c r="D14" s="6"/>
      <c r="E14" s="6"/>
      <c r="F14" s="6"/>
      <c r="G14" s="6"/>
      <c r="H14" s="6"/>
      <c r="I14" s="6">
        <v>0.65739769150052463</v>
      </c>
      <c r="J14" s="6">
        <f t="shared" ref="J14:J16" si="2">H14*I14</f>
        <v>0</v>
      </c>
      <c r="K14" s="6"/>
      <c r="L14" s="6"/>
      <c r="M14" s="6"/>
      <c r="N14" s="6"/>
      <c r="O14" s="6">
        <v>1.3258004220681339</v>
      </c>
      <c r="P14" s="6">
        <f t="shared" ref="P14:P16" si="3">N14*O14</f>
        <v>0</v>
      </c>
      <c r="Q14" s="6"/>
      <c r="R14" s="6"/>
      <c r="S14" s="6"/>
      <c r="T14" s="6"/>
      <c r="U14" s="6"/>
      <c r="V14" s="6"/>
    </row>
    <row r="15" spans="1:23" ht="22.5" customHeight="1" x14ac:dyDescent="0.25">
      <c r="A15" s="23"/>
      <c r="B15" s="7" t="s">
        <v>16</v>
      </c>
      <c r="C15" s="6"/>
      <c r="D15" s="6"/>
      <c r="E15" s="6"/>
      <c r="F15" s="6"/>
      <c r="G15" s="6"/>
      <c r="H15" s="6"/>
      <c r="I15" s="6">
        <v>0.84500378236996887</v>
      </c>
      <c r="J15" s="6">
        <f t="shared" si="2"/>
        <v>0</v>
      </c>
      <c r="K15" s="6"/>
      <c r="L15" s="6"/>
      <c r="M15" s="6"/>
      <c r="N15" s="6"/>
      <c r="O15" s="6">
        <v>1.0150610117654402</v>
      </c>
      <c r="P15" s="6">
        <f t="shared" si="3"/>
        <v>0</v>
      </c>
      <c r="Q15" s="6"/>
      <c r="R15" s="6"/>
      <c r="S15" s="6"/>
      <c r="T15" s="6"/>
      <c r="U15" s="6"/>
      <c r="V15" s="6"/>
    </row>
    <row r="16" spans="1:23" ht="22.5" customHeight="1" x14ac:dyDescent="0.25">
      <c r="A16" s="23"/>
      <c r="B16" s="7" t="s">
        <v>17</v>
      </c>
      <c r="C16" s="6"/>
      <c r="D16" s="6"/>
      <c r="E16" s="6"/>
      <c r="F16" s="6"/>
      <c r="G16" s="6"/>
      <c r="H16" s="6"/>
      <c r="I16" s="6">
        <v>0.76631119431710815</v>
      </c>
      <c r="J16" s="6">
        <f t="shared" si="2"/>
        <v>0</v>
      </c>
      <c r="K16" s="6"/>
      <c r="L16" s="6"/>
      <c r="M16" s="6"/>
      <c r="N16" s="6"/>
      <c r="O16" s="6">
        <v>1.1447893497317807</v>
      </c>
      <c r="P16" s="6">
        <f t="shared" si="3"/>
        <v>0</v>
      </c>
      <c r="Q16" s="6"/>
      <c r="R16" s="6"/>
      <c r="S16" s="6"/>
      <c r="T16" s="6"/>
      <c r="U16" s="6"/>
      <c r="V16" s="6"/>
    </row>
    <row r="17" spans="1:23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</row>
    <row r="18" spans="1:23" ht="22.5" customHeight="1" x14ac:dyDescent="0.25">
      <c r="A18" s="23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ht="22.5" customHeight="1" x14ac:dyDescent="0.25">
      <c r="A19" s="27" t="s">
        <v>18</v>
      </c>
      <c r="B19" s="28"/>
      <c r="C19" s="9">
        <f t="shared" ref="C19:V19" si="4">SUM(C14:C16,C18)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/>
      <c r="H19" s="9">
        <f t="shared" si="4"/>
        <v>0</v>
      </c>
      <c r="I19" s="9"/>
      <c r="J19" s="9">
        <f t="shared" si="4"/>
        <v>0</v>
      </c>
      <c r="K19" s="9"/>
      <c r="L19" s="9">
        <f t="shared" si="4"/>
        <v>0</v>
      </c>
      <c r="M19" s="9"/>
      <c r="N19" s="9">
        <f t="shared" si="4"/>
        <v>0</v>
      </c>
      <c r="O19" s="9"/>
      <c r="P19" s="9">
        <f t="shared" si="4"/>
        <v>0</v>
      </c>
      <c r="Q19" s="9"/>
      <c r="R19" s="9">
        <f t="shared" si="4"/>
        <v>0</v>
      </c>
      <c r="S19" s="9"/>
      <c r="T19" s="9">
        <f t="shared" si="4"/>
        <v>0</v>
      </c>
      <c r="U19" s="9"/>
      <c r="V19" s="9">
        <f t="shared" si="4"/>
        <v>0</v>
      </c>
    </row>
    <row r="20" spans="1:23" ht="22.5" customHeight="1" x14ac:dyDescent="0.25">
      <c r="A20" s="22" t="s">
        <v>35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</row>
    <row r="21" spans="1:23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22.5" customHeight="1" x14ac:dyDescent="0.25">
      <c r="A22" s="23"/>
      <c r="B22" s="7" t="s">
        <v>16</v>
      </c>
      <c r="C22" s="6">
        <v>101587</v>
      </c>
      <c r="D22" s="6">
        <v>85341</v>
      </c>
      <c r="E22" s="6">
        <v>81347</v>
      </c>
      <c r="F22" s="6">
        <v>64236</v>
      </c>
      <c r="G22" s="6">
        <v>0.78474735443675847</v>
      </c>
      <c r="H22" s="6">
        <v>51756</v>
      </c>
      <c r="I22" s="6">
        <v>0.88540739335386232</v>
      </c>
      <c r="J22" s="6">
        <v>57024</v>
      </c>
      <c r="K22" s="6">
        <v>1.328273088397699</v>
      </c>
      <c r="L22" s="6">
        <v>67809</v>
      </c>
      <c r="M22" s="6">
        <v>0.89876527889805791</v>
      </c>
      <c r="N22" s="6">
        <v>53359</v>
      </c>
      <c r="O22" s="6">
        <v>1.0502713076615076</v>
      </c>
      <c r="P22" s="6">
        <v>62197</v>
      </c>
      <c r="Q22" s="6">
        <v>0.99833044118420355</v>
      </c>
      <c r="R22" s="6">
        <v>67288</v>
      </c>
      <c r="S22" s="6">
        <v>1.140095600531992</v>
      </c>
      <c r="T22" s="6">
        <v>78451</v>
      </c>
      <c r="U22" s="6">
        <v>1.1832640332640332</v>
      </c>
      <c r="V22" s="6">
        <v>86782</v>
      </c>
      <c r="W22" s="16">
        <f>'2021'!C22/'2020'!V22</f>
        <v>1.0780807079809176</v>
      </c>
    </row>
    <row r="23" spans="1:23" ht="22.5" customHeight="1" x14ac:dyDescent="0.25">
      <c r="A23" s="23"/>
      <c r="B23" s="7" t="s">
        <v>17</v>
      </c>
      <c r="C23" s="6">
        <v>475</v>
      </c>
      <c r="D23" s="6">
        <v>507</v>
      </c>
      <c r="E23" s="6">
        <v>387</v>
      </c>
      <c r="F23" s="6">
        <v>440</v>
      </c>
      <c r="G23" s="6">
        <v>0.5161290322580645</v>
      </c>
      <c r="H23" s="6">
        <v>900</v>
      </c>
      <c r="I23" s="6">
        <v>0.70474137931034486</v>
      </c>
      <c r="J23" s="6">
        <v>0</v>
      </c>
      <c r="K23" s="6">
        <v>1.2813455657492354</v>
      </c>
      <c r="L23" s="6">
        <v>328</v>
      </c>
      <c r="M23" s="6">
        <v>0.94988066825775652</v>
      </c>
      <c r="N23" s="6">
        <v>424</v>
      </c>
      <c r="O23" s="6">
        <v>0.84924623115577891</v>
      </c>
      <c r="P23" s="6">
        <v>443</v>
      </c>
      <c r="Q23" s="6">
        <v>1.3964497041420119</v>
      </c>
      <c r="R23" s="6">
        <v>361</v>
      </c>
      <c r="S23" s="6">
        <v>0.90042372881355937</v>
      </c>
      <c r="T23" s="6">
        <v>352</v>
      </c>
      <c r="U23" s="6">
        <v>0.99058823529411766</v>
      </c>
      <c r="V23" s="6">
        <v>435</v>
      </c>
      <c r="W23" s="16">
        <f>'2021'!C23/'2020'!V23</f>
        <v>1.0482758620689656</v>
      </c>
    </row>
    <row r="24" spans="1:23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</row>
    <row r="25" spans="1:23" ht="22.5" customHeight="1" x14ac:dyDescent="0.25">
      <c r="A25" s="23"/>
      <c r="B25" s="8"/>
      <c r="C25" s="6">
        <v>3372</v>
      </c>
      <c r="D25" s="6">
        <v>3051</v>
      </c>
      <c r="E25" s="6">
        <v>4741</v>
      </c>
      <c r="F25" s="6">
        <v>1684</v>
      </c>
      <c r="G25" s="6">
        <v>0.95215311004784686</v>
      </c>
      <c r="H25" s="6">
        <v>2281</v>
      </c>
      <c r="I25" s="6">
        <v>1.1865996649916248</v>
      </c>
      <c r="J25" s="6">
        <v>388</v>
      </c>
      <c r="K25" s="6">
        <v>0.56211180124223603</v>
      </c>
      <c r="L25" s="6">
        <v>629</v>
      </c>
      <c r="M25" s="6">
        <v>1.1607232546459065</v>
      </c>
      <c r="N25" s="6">
        <v>463</v>
      </c>
      <c r="O25" s="6">
        <v>0.98312418866291651</v>
      </c>
      <c r="P25" s="6">
        <v>754</v>
      </c>
      <c r="Q25" s="6">
        <v>1.590669014084507</v>
      </c>
      <c r="R25" s="6">
        <v>1101</v>
      </c>
      <c r="S25" s="6">
        <v>0.81543995572772554</v>
      </c>
      <c r="T25" s="6">
        <v>1048</v>
      </c>
      <c r="U25" s="6">
        <v>1.3532405836443842</v>
      </c>
      <c r="V25" s="6">
        <v>1142</v>
      </c>
      <c r="W25" s="16">
        <f>'2021'!C25/'2020'!V25</f>
        <v>1.1821366024518389</v>
      </c>
    </row>
    <row r="26" spans="1:23" ht="22.5" customHeight="1" x14ac:dyDescent="0.25">
      <c r="A26" s="27" t="s">
        <v>18</v>
      </c>
      <c r="B26" s="28"/>
      <c r="C26" s="9">
        <f t="shared" ref="C26:T26" si="5">SUM(C21:C23,C25)</f>
        <v>105434</v>
      </c>
      <c r="D26" s="9">
        <f t="shared" si="5"/>
        <v>88899</v>
      </c>
      <c r="E26" s="9">
        <f t="shared" si="5"/>
        <v>86475</v>
      </c>
      <c r="F26" s="9">
        <f t="shared" si="5"/>
        <v>66360</v>
      </c>
      <c r="G26" s="9"/>
      <c r="H26" s="9">
        <f t="shared" si="5"/>
        <v>54937</v>
      </c>
      <c r="I26" s="9"/>
      <c r="J26" s="9">
        <f t="shared" si="5"/>
        <v>57412</v>
      </c>
      <c r="K26" s="9"/>
      <c r="L26" s="9">
        <f t="shared" si="5"/>
        <v>68766</v>
      </c>
      <c r="M26" s="9"/>
      <c r="N26" s="9">
        <f t="shared" si="5"/>
        <v>54246</v>
      </c>
      <c r="O26" s="9"/>
      <c r="P26" s="9">
        <f t="shared" si="5"/>
        <v>63394</v>
      </c>
      <c r="Q26" s="9"/>
      <c r="R26" s="9">
        <f t="shared" si="5"/>
        <v>68750</v>
      </c>
      <c r="S26" s="9"/>
      <c r="T26" s="9">
        <f t="shared" si="5"/>
        <v>79851</v>
      </c>
      <c r="U26" s="9"/>
      <c r="V26" s="9">
        <f>SUM(V21:V23,V25)</f>
        <v>88359</v>
      </c>
    </row>
    <row r="27" spans="1:23" ht="22.5" customHeight="1" x14ac:dyDescent="0.25">
      <c r="A27" s="22" t="s">
        <v>31</v>
      </c>
      <c r="B27" s="2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6"/>
    </row>
    <row r="28" spans="1:23" ht="22.5" customHeight="1" x14ac:dyDescent="0.25">
      <c r="A28" s="23"/>
      <c r="B28" s="7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3" ht="22.5" customHeight="1" x14ac:dyDescent="0.25">
      <c r="A29" s="23"/>
      <c r="B29" s="7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3" ht="22.5" customHeight="1" x14ac:dyDescent="0.25">
      <c r="A30" s="23"/>
      <c r="B30" s="7" t="s">
        <v>17</v>
      </c>
      <c r="C30" s="6">
        <v>21883</v>
      </c>
      <c r="D30" s="6">
        <v>16907</v>
      </c>
      <c r="E30" s="6">
        <v>21883</v>
      </c>
      <c r="F30" s="6">
        <v>18020</v>
      </c>
      <c r="G30" s="6">
        <v>0.76142981043241231</v>
      </c>
      <c r="H30" s="6">
        <v>8803</v>
      </c>
      <c r="I30" s="6">
        <v>0.6717110080546741</v>
      </c>
      <c r="J30" s="6">
        <v>12446</v>
      </c>
      <c r="K30" s="6">
        <v>0.87136627906976749</v>
      </c>
      <c r="L30" s="6">
        <v>7780</v>
      </c>
      <c r="M30" s="6">
        <v>1.109674728940784</v>
      </c>
      <c r="N30" s="6">
        <v>8210</v>
      </c>
      <c r="O30" s="6">
        <v>1.5153451083552549</v>
      </c>
      <c r="P30" s="6">
        <v>11127</v>
      </c>
      <c r="Q30" s="6">
        <v>1.4329999173348764</v>
      </c>
      <c r="R30" s="6">
        <v>20516</v>
      </c>
      <c r="S30" s="6">
        <v>1.2787424286126334</v>
      </c>
      <c r="T30" s="6">
        <v>25318</v>
      </c>
      <c r="U30" s="6">
        <v>0.96151937564848644</v>
      </c>
      <c r="V30" s="6">
        <v>26641</v>
      </c>
      <c r="W30" s="16">
        <f>'2021'!C30/'2020'!V30</f>
        <v>0.99598363424796366</v>
      </c>
    </row>
    <row r="31" spans="1:23" ht="22.5" customHeight="1" x14ac:dyDescent="0.25">
      <c r="A31" s="23"/>
      <c r="B31" s="24" t="s">
        <v>21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</row>
    <row r="32" spans="1:23" ht="22.5" customHeight="1" x14ac:dyDescent="0.25">
      <c r="A32" s="23"/>
      <c r="B32" s="8"/>
      <c r="C32" s="6">
        <v>426.03485999999998</v>
      </c>
      <c r="D32" s="6">
        <v>306</v>
      </c>
      <c r="E32" s="6">
        <v>406</v>
      </c>
      <c r="F32" s="6">
        <v>486</v>
      </c>
      <c r="G32" s="6">
        <v>0.8529411764705882</v>
      </c>
      <c r="H32" s="6">
        <v>276</v>
      </c>
      <c r="I32" s="6">
        <v>0.65517241379310343</v>
      </c>
      <c r="J32" s="6">
        <v>306</v>
      </c>
      <c r="K32" s="6">
        <v>0.8529411764705882</v>
      </c>
      <c r="L32" s="6">
        <v>256</v>
      </c>
      <c r="M32" s="6">
        <v>1.1941747572815533</v>
      </c>
      <c r="N32" s="6">
        <v>236</v>
      </c>
      <c r="O32" s="6">
        <v>0.91869918699186992</v>
      </c>
      <c r="P32" s="6">
        <v>241</v>
      </c>
      <c r="Q32" s="6">
        <v>2.5488819026548675</v>
      </c>
      <c r="R32" s="6">
        <v>401</v>
      </c>
      <c r="S32" s="6">
        <v>0.75688227760320581</v>
      </c>
      <c r="T32" s="6">
        <f>R32*S32</f>
        <v>303.50979331888556</v>
      </c>
      <c r="U32" s="6">
        <v>0.65596330275229353</v>
      </c>
      <c r="V32" s="6">
        <f>T32*U32</f>
        <v>199.09128644312216</v>
      </c>
      <c r="W32" s="16">
        <f>'2021'!C32/'2020'!V32</f>
        <v>4.3497634450586826</v>
      </c>
    </row>
    <row r="33" spans="1:24" ht="22.5" customHeight="1" x14ac:dyDescent="0.25">
      <c r="A33" s="27" t="s">
        <v>18</v>
      </c>
      <c r="B33" s="28"/>
      <c r="C33" s="9">
        <f t="shared" ref="C33:T33" si="6">SUM(C28:C30,C32)</f>
        <v>22309.03486</v>
      </c>
      <c r="D33" s="9">
        <f t="shared" si="6"/>
        <v>17213</v>
      </c>
      <c r="E33" s="9">
        <f t="shared" si="6"/>
        <v>22289</v>
      </c>
      <c r="F33" s="9">
        <f t="shared" si="6"/>
        <v>18506</v>
      </c>
      <c r="G33" s="9"/>
      <c r="H33" s="9">
        <f t="shared" si="6"/>
        <v>9079</v>
      </c>
      <c r="I33" s="9"/>
      <c r="J33" s="9">
        <f t="shared" si="6"/>
        <v>12752</v>
      </c>
      <c r="K33" s="9"/>
      <c r="L33" s="9">
        <f t="shared" si="6"/>
        <v>8036</v>
      </c>
      <c r="M33" s="9"/>
      <c r="N33" s="9">
        <f t="shared" si="6"/>
        <v>8446</v>
      </c>
      <c r="O33" s="9"/>
      <c r="P33" s="9">
        <f t="shared" si="6"/>
        <v>11368</v>
      </c>
      <c r="Q33" s="9"/>
      <c r="R33" s="9">
        <f t="shared" si="6"/>
        <v>20917</v>
      </c>
      <c r="S33" s="9"/>
      <c r="T33" s="9">
        <f t="shared" si="6"/>
        <v>25621.509793318884</v>
      </c>
      <c r="U33" s="9"/>
      <c r="V33" s="9">
        <f>SUM(V28:V30,V32)</f>
        <v>26840.091286443123</v>
      </c>
    </row>
    <row r="34" spans="1:24" ht="22.5" customHeight="1" x14ac:dyDescent="0.25">
      <c r="C34" s="12"/>
      <c r="D34" s="10"/>
      <c r="E34" s="10"/>
      <c r="J34" s="12"/>
      <c r="K34" s="12"/>
      <c r="P34" s="10"/>
      <c r="Q34" s="10"/>
      <c r="R34" s="10"/>
      <c r="S34" s="10"/>
      <c r="T34" s="10"/>
      <c r="U34" s="10"/>
      <c r="V34" s="10"/>
    </row>
    <row r="35" spans="1:24" ht="22.5" customHeight="1" x14ac:dyDescent="0.25">
      <c r="C35" s="12"/>
      <c r="D35" s="10"/>
      <c r="E35" s="10"/>
      <c r="P35" s="10"/>
      <c r="Q35" s="10"/>
      <c r="R35" s="10"/>
      <c r="S35" s="10"/>
      <c r="T35" s="10"/>
      <c r="U35" s="10"/>
      <c r="V35" s="10"/>
    </row>
    <row r="36" spans="1:24" ht="22.5" customHeight="1" x14ac:dyDescent="0.25">
      <c r="C36" s="12"/>
      <c r="D36" s="10"/>
      <c r="E36" s="10"/>
      <c r="H36" s="10"/>
      <c r="I36" s="10"/>
      <c r="P36" s="10"/>
      <c r="Q36" s="10"/>
      <c r="R36" s="10"/>
      <c r="S36" s="10"/>
      <c r="T36" s="10"/>
      <c r="U36" s="10"/>
      <c r="V36" s="10"/>
    </row>
    <row r="37" spans="1:24" ht="22.5" customHeight="1" x14ac:dyDescent="0.25">
      <c r="C37" s="12"/>
      <c r="D37" s="10"/>
      <c r="E37" s="10"/>
      <c r="P37" s="10"/>
      <c r="Q37" s="10"/>
      <c r="R37" s="10"/>
      <c r="S37" s="10"/>
      <c r="T37" s="10"/>
      <c r="U37" s="10"/>
      <c r="V37" s="10"/>
    </row>
    <row r="38" spans="1:24" ht="22.5" customHeight="1" x14ac:dyDescent="0.25">
      <c r="C38" s="12"/>
      <c r="D38" s="10"/>
      <c r="E38" s="10"/>
      <c r="P38" s="10"/>
      <c r="Q38" s="10"/>
      <c r="R38" s="10"/>
      <c r="S38" s="10"/>
      <c r="T38" s="10"/>
      <c r="U38" s="10"/>
      <c r="V38" s="10"/>
    </row>
    <row r="39" spans="1:24" ht="22.5" customHeight="1" x14ac:dyDescent="0.25">
      <c r="C39" s="12"/>
      <c r="D39" s="10"/>
      <c r="E39" s="10"/>
      <c r="P39" s="10"/>
      <c r="Q39" s="10"/>
      <c r="R39" s="10"/>
      <c r="S39" s="10"/>
      <c r="T39" s="13"/>
      <c r="U39" s="13"/>
      <c r="V39"/>
      <c r="W39" s="18"/>
      <c r="X39"/>
    </row>
    <row r="40" spans="1:24" ht="22.5" customHeight="1" x14ac:dyDescent="0.25">
      <c r="C40" s="12"/>
      <c r="D40" s="10"/>
      <c r="E40" s="10"/>
      <c r="P40" s="10"/>
      <c r="Q40" s="10"/>
      <c r="R40" s="10"/>
      <c r="S40" s="10"/>
      <c r="T40" s="10"/>
      <c r="U40" s="10"/>
    </row>
    <row r="41" spans="1:24" ht="22.5" customHeight="1" x14ac:dyDescent="0.25">
      <c r="C41" s="12"/>
      <c r="D41" s="10"/>
      <c r="E41" s="10"/>
      <c r="P41" s="10"/>
      <c r="Q41" s="10"/>
      <c r="R41" s="10"/>
      <c r="S41" s="10"/>
      <c r="T41" s="10"/>
      <c r="U41" s="10"/>
    </row>
    <row r="42" spans="1:24" ht="22.5" customHeight="1" x14ac:dyDescent="0.25">
      <c r="C42" s="12"/>
      <c r="D42" s="10"/>
      <c r="E42" s="10"/>
      <c r="P42" s="10"/>
      <c r="Q42" s="10"/>
      <c r="R42" s="10"/>
      <c r="S42" s="10"/>
      <c r="T42" s="10"/>
      <c r="U42" s="10"/>
    </row>
    <row r="43" spans="1:24" ht="22.5" customHeight="1" x14ac:dyDescent="0.25">
      <c r="C43" s="12"/>
      <c r="D43" s="10"/>
      <c r="E43" s="10"/>
      <c r="P43" s="10"/>
      <c r="Q43" s="10"/>
      <c r="R43" s="10"/>
      <c r="S43" s="10"/>
      <c r="T43" s="10"/>
      <c r="U43" s="10"/>
    </row>
    <row r="44" spans="1:24" ht="22.5" customHeight="1" x14ac:dyDescent="0.25">
      <c r="C44" s="12"/>
      <c r="D44" s="10"/>
      <c r="E44" s="10"/>
      <c r="P44" s="10"/>
      <c r="Q44" s="10"/>
      <c r="R44" s="10"/>
      <c r="S44" s="10"/>
      <c r="T44" s="10"/>
      <c r="U44" s="10"/>
    </row>
    <row r="45" spans="1:24" ht="22.5" customHeight="1" x14ac:dyDescent="0.25">
      <c r="C45" s="12"/>
      <c r="D45" s="10"/>
      <c r="E45" s="10"/>
      <c r="P45" s="10"/>
      <c r="Q45" s="10"/>
      <c r="R45" s="10"/>
      <c r="S45" s="10"/>
      <c r="T45" s="10"/>
      <c r="U45" s="10"/>
    </row>
    <row r="46" spans="1:24" ht="22.5" customHeight="1" x14ac:dyDescent="0.25">
      <c r="C46" s="12"/>
      <c r="D46" s="10"/>
      <c r="E46" s="10"/>
    </row>
    <row r="47" spans="1:24" ht="22.5" customHeight="1" x14ac:dyDescent="0.25">
      <c r="C47" s="12"/>
      <c r="D47" s="10"/>
      <c r="E47" s="10"/>
    </row>
    <row r="48" spans="1:24" ht="22.5" customHeight="1" x14ac:dyDescent="0.25">
      <c r="C48" s="12"/>
      <c r="D48" s="10"/>
      <c r="E48" s="10"/>
    </row>
  </sheetData>
  <mergeCells count="17">
    <mergeCell ref="A33:B33"/>
    <mergeCell ref="A19:B19"/>
    <mergeCell ref="A20:A25"/>
    <mergeCell ref="B20:V20"/>
    <mergeCell ref="B24:V24"/>
    <mergeCell ref="A26:B26"/>
    <mergeCell ref="A27:A32"/>
    <mergeCell ref="B27:V27"/>
    <mergeCell ref="B31:V31"/>
    <mergeCell ref="A13:A18"/>
    <mergeCell ref="B13:V13"/>
    <mergeCell ref="B17:V17"/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8"/>
  <sheetViews>
    <sheetView zoomScale="70" zoomScaleNormal="70" workbookViewId="0">
      <selection activeCell="L21" sqref="L2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9.140625" style="1" customWidth="1"/>
    <col min="4" max="4" width="19.140625" style="1" hidden="1" customWidth="1"/>
    <col min="5" max="5" width="19.140625" style="1" customWidth="1"/>
    <col min="6" max="6" width="19.140625" style="1" hidden="1" customWidth="1"/>
    <col min="7" max="7" width="19.140625" style="1" customWidth="1"/>
    <col min="8" max="8" width="19.140625" style="1" hidden="1" customWidth="1"/>
    <col min="9" max="9" width="19.140625" style="1" customWidth="1"/>
    <col min="10" max="11" width="19.140625" style="1" hidden="1" customWidth="1"/>
    <col min="12" max="12" width="19.140625" style="1" customWidth="1"/>
    <col min="13" max="14" width="19.140625" style="1" hidden="1" customWidth="1"/>
    <col min="15" max="15" width="19.140625" style="1" customWidth="1"/>
    <col min="16" max="16" width="19.140625" style="1" hidden="1" customWidth="1"/>
    <col min="17" max="17" width="2.42578125" style="1" hidden="1" customWidth="1"/>
    <col min="18" max="18" width="19.140625" style="1" customWidth="1"/>
    <col min="19" max="20" width="19.140625" style="1" hidden="1" customWidth="1"/>
    <col min="21" max="21" width="19.140625" style="1" customWidth="1"/>
    <col min="22" max="23" width="19.140625" style="1" hidden="1" customWidth="1"/>
    <col min="24" max="24" width="19.140625" style="1" customWidth="1"/>
    <col min="25" max="26" width="19.140625" style="1" hidden="1" customWidth="1"/>
    <col min="27" max="27" width="19.140625" style="1" customWidth="1"/>
    <col min="28" max="29" width="19.140625" style="1" hidden="1" customWidth="1"/>
    <col min="30" max="30" width="19.140625" style="1" customWidth="1"/>
    <col min="31" max="32" width="19.140625" style="1" hidden="1" customWidth="1"/>
    <col min="33" max="33" width="19.140625" style="1" customWidth="1"/>
    <col min="34" max="34" width="9.140625" style="16"/>
    <col min="35" max="35" width="12.5703125" style="1" bestFit="1" customWidth="1"/>
    <col min="36" max="16384" width="9.140625" style="1"/>
  </cols>
  <sheetData>
    <row r="2" spans="1:34" ht="20.25" customHeight="1" x14ac:dyDescent="0.25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4" s="5" customFormat="1" ht="33" customHeight="1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  <c r="AH3" s="17"/>
    </row>
    <row r="4" spans="1:34" ht="22.5" customHeight="1" x14ac:dyDescent="0.25">
      <c r="A4" s="22" t="s">
        <v>36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6"/>
    </row>
    <row r="5" spans="1:34" ht="22.5" customHeight="1" x14ac:dyDescent="0.25">
      <c r="A5" s="23"/>
      <c r="B5" s="7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4" ht="22.5" customHeight="1" x14ac:dyDescent="0.25">
      <c r="A6" s="23"/>
      <c r="B6" s="7" t="s">
        <v>14</v>
      </c>
      <c r="C6" s="6">
        <v>7459700</v>
      </c>
      <c r="D6" s="6">
        <v>0.95487434138523497</v>
      </c>
      <c r="E6" s="6">
        <v>6171216</v>
      </c>
      <c r="F6" s="6">
        <v>1.0224587212284937</v>
      </c>
      <c r="G6" s="6">
        <v>6311433</v>
      </c>
      <c r="H6" s="6">
        <v>0.88256030587110024</v>
      </c>
      <c r="I6" s="6">
        <v>6794621</v>
      </c>
      <c r="J6" s="6"/>
      <c r="K6" s="6">
        <v>0.9408972830969331</v>
      </c>
      <c r="L6" s="6">
        <v>6389843</v>
      </c>
      <c r="M6" s="6"/>
      <c r="N6" s="6">
        <v>1.0313398489138399</v>
      </c>
      <c r="O6" s="6">
        <v>5503406</v>
      </c>
      <c r="P6" s="6"/>
      <c r="Q6" s="6">
        <v>0.90845314788154941</v>
      </c>
      <c r="R6" s="6">
        <v>5139787</v>
      </c>
      <c r="S6" s="6"/>
      <c r="T6" s="6">
        <v>0.92744184868160462</v>
      </c>
      <c r="U6" s="6">
        <v>5109452</v>
      </c>
      <c r="V6" s="6"/>
      <c r="W6" s="6">
        <v>0.89343359923233379</v>
      </c>
      <c r="X6" s="6">
        <v>4699380</v>
      </c>
      <c r="Y6" s="6"/>
      <c r="Z6" s="6">
        <v>1.2763222933326852</v>
      </c>
      <c r="AA6" s="6">
        <v>5889146</v>
      </c>
      <c r="AB6" s="6"/>
      <c r="AC6" s="6">
        <v>1.0392007487605754</v>
      </c>
      <c r="AD6" s="6">
        <v>6179039</v>
      </c>
      <c r="AE6" s="6"/>
      <c r="AF6" s="6">
        <v>1.1128198323308274</v>
      </c>
      <c r="AG6" s="6">
        <v>7017481</v>
      </c>
      <c r="AH6" s="16">
        <f>'2022'!D6/'2021'!AG6</f>
        <v>1.131330601393862</v>
      </c>
    </row>
    <row r="7" spans="1:34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4" ht="22.5" customHeight="1" x14ac:dyDescent="0.25">
      <c r="A8" s="23"/>
      <c r="B8" s="7" t="s">
        <v>16</v>
      </c>
      <c r="C8" s="6">
        <v>57994</v>
      </c>
      <c r="D8" s="6">
        <v>22.502950740696132</v>
      </c>
      <c r="E8" s="6">
        <v>41612</v>
      </c>
      <c r="F8" s="6">
        <v>0.47055265946628705</v>
      </c>
      <c r="G8" s="6">
        <v>42792</v>
      </c>
      <c r="H8" s="6">
        <v>1.4525756662382421</v>
      </c>
      <c r="I8" s="6">
        <v>25513</v>
      </c>
      <c r="J8" s="6"/>
      <c r="K8" s="6">
        <v>0.51599339122536392</v>
      </c>
      <c r="L8" s="6">
        <v>16444</v>
      </c>
      <c r="M8" s="6"/>
      <c r="N8" s="6">
        <v>0.57369834742097514</v>
      </c>
      <c r="O8" s="6">
        <v>16653</v>
      </c>
      <c r="P8" s="6"/>
      <c r="Q8" s="6">
        <v>0.69279195873561694</v>
      </c>
      <c r="R8" s="6">
        <v>10738</v>
      </c>
      <c r="S8" s="6"/>
      <c r="T8" s="6">
        <v>0.98866022679546406</v>
      </c>
      <c r="U8" s="6">
        <v>13721</v>
      </c>
      <c r="V8" s="6"/>
      <c r="W8" s="6">
        <v>2.9654360083417006</v>
      </c>
      <c r="X8" s="6">
        <v>18107</v>
      </c>
      <c r="Y8" s="6"/>
      <c r="Z8" s="6">
        <v>1.8244103819656974</v>
      </c>
      <c r="AA8" s="6">
        <v>38013</v>
      </c>
      <c r="AB8" s="6"/>
      <c r="AC8" s="6">
        <v>1.1973431555203404</v>
      </c>
      <c r="AD8" s="6">
        <v>39042</v>
      </c>
      <c r="AE8" s="6"/>
      <c r="AF8" s="6">
        <v>0.69468870911009495</v>
      </c>
      <c r="AG8" s="6">
        <v>55267</v>
      </c>
      <c r="AH8" s="16">
        <f>'2022'!D8/'2021'!AG8</f>
        <v>1.1095590497041634</v>
      </c>
    </row>
    <row r="9" spans="1:34" ht="22.5" customHeight="1" x14ac:dyDescent="0.25">
      <c r="A9" s="23"/>
      <c r="B9" s="7" t="s">
        <v>17</v>
      </c>
      <c r="C9" s="6">
        <v>1653</v>
      </c>
      <c r="D9" s="6">
        <v>0</v>
      </c>
      <c r="E9" s="6">
        <v>802</v>
      </c>
      <c r="F9" s="6">
        <v>0.99885057471264371</v>
      </c>
      <c r="G9" s="6">
        <v>839</v>
      </c>
      <c r="H9" s="6">
        <v>0.88262370540851554</v>
      </c>
      <c r="I9" s="6">
        <v>737</v>
      </c>
      <c r="J9" s="6"/>
      <c r="K9" s="6">
        <v>0.94002607561929596</v>
      </c>
      <c r="L9" s="6">
        <v>489</v>
      </c>
      <c r="M9" s="6"/>
      <c r="N9" s="6">
        <v>0.855755894590846</v>
      </c>
      <c r="O9" s="6">
        <v>382</v>
      </c>
      <c r="P9" s="6"/>
      <c r="Q9" s="6">
        <v>1.0016207455429498</v>
      </c>
      <c r="R9" s="6">
        <v>787</v>
      </c>
      <c r="S9" s="6"/>
      <c r="T9" s="6">
        <v>0.78478964401294493</v>
      </c>
      <c r="U9" s="6">
        <v>438</v>
      </c>
      <c r="V9" s="6"/>
      <c r="W9" s="6">
        <v>2.0082474226804123</v>
      </c>
      <c r="X9" s="6">
        <v>1082</v>
      </c>
      <c r="Y9" s="6"/>
      <c r="Z9" s="6">
        <v>0.38603696098562629</v>
      </c>
      <c r="AA9" s="6">
        <v>622</v>
      </c>
      <c r="AB9" s="6"/>
      <c r="AC9" s="6">
        <v>3.3031914893617023</v>
      </c>
      <c r="AD9" s="6">
        <v>1362</v>
      </c>
      <c r="AE9" s="6"/>
      <c r="AF9" s="6">
        <v>0.55152979066022545</v>
      </c>
      <c r="AG9" s="6">
        <v>487</v>
      </c>
      <c r="AH9" s="16">
        <f>'2022'!D9/'2021'!AG9</f>
        <v>3.1108829568788501</v>
      </c>
    </row>
    <row r="10" spans="1:3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4" ht="22.5" customHeight="1" x14ac:dyDescent="0.25">
      <c r="A11" s="23"/>
      <c r="B11" s="8"/>
      <c r="C11" s="6">
        <v>11479</v>
      </c>
      <c r="D11" s="6">
        <v>0.95837215380594354</v>
      </c>
      <c r="E11" s="6">
        <v>9582</v>
      </c>
      <c r="F11" s="6">
        <v>0.80512678189279285</v>
      </c>
      <c r="G11" s="6">
        <v>8639</v>
      </c>
      <c r="H11" s="6">
        <v>0.99464811239362472</v>
      </c>
      <c r="I11" s="6">
        <v>6350</v>
      </c>
      <c r="J11" s="6"/>
      <c r="K11" s="6">
        <v>0.73634245672515453</v>
      </c>
      <c r="L11" s="6">
        <v>5970</v>
      </c>
      <c r="M11" s="6"/>
      <c r="N11" s="6">
        <v>1.0157191554422609</v>
      </c>
      <c r="O11" s="6">
        <v>4722</v>
      </c>
      <c r="P11" s="6"/>
      <c r="Q11" s="6">
        <v>0.86051880917625312</v>
      </c>
      <c r="R11" s="6">
        <v>4423</v>
      </c>
      <c r="S11" s="6"/>
      <c r="T11" s="6">
        <v>1.0953937232125348</v>
      </c>
      <c r="U11" s="6">
        <v>3890</v>
      </c>
      <c r="V11" s="6"/>
      <c r="W11" s="6">
        <v>1.0686335518445587</v>
      </c>
      <c r="X11" s="6">
        <v>5335</v>
      </c>
      <c r="Y11" s="6"/>
      <c r="Z11" s="6">
        <v>1.2561389700623005</v>
      </c>
      <c r="AA11" s="6">
        <v>4316</v>
      </c>
      <c r="AB11" s="6"/>
      <c r="AC11" s="6">
        <v>1.0867106962172688</v>
      </c>
      <c r="AD11" s="6">
        <v>4105</v>
      </c>
      <c r="AE11" s="6"/>
      <c r="AF11" s="6">
        <v>1.1780927317954002</v>
      </c>
      <c r="AG11" s="6">
        <v>4624</v>
      </c>
      <c r="AH11" s="16">
        <f>'2022'!D11/'2021'!AG11</f>
        <v>1.5717993079584776</v>
      </c>
    </row>
    <row r="12" spans="1:34" ht="22.5" customHeight="1" x14ac:dyDescent="0.25">
      <c r="A12" s="27" t="s">
        <v>18</v>
      </c>
      <c r="B12" s="28"/>
      <c r="C12" s="9">
        <f t="shared" ref="C12:AG12" si="0">SUM(C5:C9,C11)</f>
        <v>7530826</v>
      </c>
      <c r="D12" s="9"/>
      <c r="E12" s="9">
        <f t="shared" si="0"/>
        <v>6223212</v>
      </c>
      <c r="F12" s="9"/>
      <c r="G12" s="9">
        <f t="shared" si="0"/>
        <v>6363703</v>
      </c>
      <c r="H12" s="9"/>
      <c r="I12" s="9">
        <f t="shared" si="0"/>
        <v>6827221</v>
      </c>
      <c r="J12" s="9"/>
      <c r="K12" s="9"/>
      <c r="L12" s="9">
        <f>SUM(L5:L9,L11)</f>
        <v>6412746</v>
      </c>
      <c r="M12" s="9"/>
      <c r="N12" s="9"/>
      <c r="O12" s="9">
        <f>SUM(O5:O9,O11)</f>
        <v>5525163</v>
      </c>
      <c r="P12" s="9"/>
      <c r="Q12" s="9"/>
      <c r="R12" s="9">
        <f t="shared" ref="R12:X12" si="1">SUM(R5:R9,R11)</f>
        <v>5155735</v>
      </c>
      <c r="S12" s="9"/>
      <c r="T12" s="9"/>
      <c r="U12" s="9">
        <f t="shared" si="1"/>
        <v>5127501</v>
      </c>
      <c r="V12" s="9"/>
      <c r="W12" s="9"/>
      <c r="X12" s="9">
        <f t="shared" si="1"/>
        <v>4723904</v>
      </c>
      <c r="Y12" s="9"/>
      <c r="Z12" s="9"/>
      <c r="AA12" s="9">
        <f t="shared" si="0"/>
        <v>5932097</v>
      </c>
      <c r="AB12" s="9"/>
      <c r="AC12" s="9"/>
      <c r="AD12" s="9">
        <f t="shared" si="0"/>
        <v>6223548</v>
      </c>
      <c r="AE12" s="9"/>
      <c r="AF12" s="9"/>
      <c r="AG12" s="9">
        <f t="shared" si="0"/>
        <v>7077859</v>
      </c>
    </row>
    <row r="13" spans="1:34" ht="22.5" customHeight="1" x14ac:dyDescent="0.25">
      <c r="A13" s="22" t="s">
        <v>34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4" ht="22.5" customHeight="1" x14ac:dyDescent="0.25">
      <c r="A14" s="23"/>
      <c r="B14" s="7" t="s">
        <v>15</v>
      </c>
      <c r="C14" s="6">
        <v>171655</v>
      </c>
      <c r="D14" s="6"/>
      <c r="E14" s="6">
        <v>191352</v>
      </c>
      <c r="F14" s="6">
        <f>E14/C14</f>
        <v>1.1147476042061111</v>
      </c>
      <c r="G14" s="6">
        <v>200190</v>
      </c>
      <c r="H14" s="6">
        <f>G14/E14</f>
        <v>1.0461871315690456</v>
      </c>
      <c r="I14" s="6">
        <v>173898</v>
      </c>
      <c r="J14" s="6"/>
      <c r="K14" s="6">
        <f>I14/G14</f>
        <v>0.86866476846995355</v>
      </c>
      <c r="L14" s="6">
        <v>119505</v>
      </c>
      <c r="M14" s="6"/>
      <c r="N14" s="6"/>
      <c r="O14" s="6">
        <v>113337</v>
      </c>
      <c r="P14" s="6"/>
      <c r="Q14" s="6">
        <f>O14/L14</f>
        <v>0.94838709677419353</v>
      </c>
      <c r="R14" s="6">
        <v>123028</v>
      </c>
      <c r="S14" s="6"/>
      <c r="T14" s="6">
        <f>R14/O14</f>
        <v>1.0855060571569743</v>
      </c>
      <c r="U14" s="6">
        <v>138795</v>
      </c>
      <c r="V14" s="6"/>
      <c r="W14" s="6">
        <f>U14/R14</f>
        <v>1.1281578177325486</v>
      </c>
      <c r="X14" s="6">
        <v>151965</v>
      </c>
      <c r="Y14" s="6"/>
      <c r="Z14" s="6">
        <f>X14/U14</f>
        <v>1.0948881443856047</v>
      </c>
      <c r="AA14" s="6">
        <v>179634</v>
      </c>
      <c r="AB14" s="6"/>
      <c r="AC14" s="6">
        <f>AA14/X14</f>
        <v>1.1820748198598361</v>
      </c>
      <c r="AD14" s="6">
        <v>184312</v>
      </c>
      <c r="AE14" s="6"/>
      <c r="AF14" s="6">
        <f>AD14/AA14</f>
        <v>1.0260418406315064</v>
      </c>
      <c r="AG14" s="6">
        <v>245090</v>
      </c>
      <c r="AH14" s="16">
        <f>'2022'!D14/'2021'!AG14</f>
        <v>0.9317475213186992</v>
      </c>
    </row>
    <row r="15" spans="1:34" ht="22.5" customHeight="1" x14ac:dyDescent="0.25">
      <c r="A15" s="23"/>
      <c r="B15" s="7" t="s">
        <v>16</v>
      </c>
      <c r="C15" s="6">
        <v>354098</v>
      </c>
      <c r="D15" s="6"/>
      <c r="E15" s="6">
        <v>321148</v>
      </c>
      <c r="F15" s="6">
        <f t="shared" ref="F15:F16" si="2">E15/C15</f>
        <v>0.90694666448271377</v>
      </c>
      <c r="G15" s="6">
        <v>359184</v>
      </c>
      <c r="H15" s="6">
        <f t="shared" ref="H15:H16" si="3">G15/E15</f>
        <v>1.1184376050917335</v>
      </c>
      <c r="I15" s="6">
        <v>313199</v>
      </c>
      <c r="J15" s="6"/>
      <c r="K15" s="6">
        <f t="shared" ref="K15:K16" si="4">I15/G15</f>
        <v>0.87197369593300367</v>
      </c>
      <c r="L15" s="6">
        <v>319318</v>
      </c>
      <c r="M15" s="6"/>
      <c r="N15" s="6"/>
      <c r="O15" s="6">
        <v>319866</v>
      </c>
      <c r="P15" s="6"/>
      <c r="Q15" s="6">
        <f t="shared" ref="Q15:Q18" si="5">O15/L15</f>
        <v>1.0017161575608016</v>
      </c>
      <c r="R15" s="6">
        <v>316432</v>
      </c>
      <c r="S15" s="6"/>
      <c r="T15" s="6">
        <f t="shared" ref="T15:T16" si="6">R15/O15</f>
        <v>0.98926425440653276</v>
      </c>
      <c r="U15" s="6">
        <v>304134</v>
      </c>
      <c r="V15" s="6"/>
      <c r="W15" s="6">
        <f t="shared" ref="W15:W18" si="7">U15/R15</f>
        <v>0.96113540981948731</v>
      </c>
      <c r="X15" s="6">
        <v>287708</v>
      </c>
      <c r="Y15" s="6"/>
      <c r="Z15" s="6">
        <f t="shared" ref="Z15:Z16" si="8">X15/U15</f>
        <v>0.94599091190067541</v>
      </c>
      <c r="AA15" s="6">
        <v>363570</v>
      </c>
      <c r="AB15" s="6"/>
      <c r="AC15" s="6">
        <f t="shared" ref="AC15:AC16" si="9">AA15/X15</f>
        <v>1.2636770614650965</v>
      </c>
      <c r="AD15" s="6">
        <v>338455</v>
      </c>
      <c r="AE15" s="6"/>
      <c r="AF15" s="6">
        <f t="shared" ref="AF15:AF16" si="10">AD15/AA15</f>
        <v>0.93092114310861729</v>
      </c>
      <c r="AG15" s="6">
        <v>368327</v>
      </c>
      <c r="AH15" s="16">
        <f>'2022'!D15/'2021'!AG15</f>
        <v>1.0632047066872643</v>
      </c>
    </row>
    <row r="16" spans="1:34" ht="22.5" customHeight="1" x14ac:dyDescent="0.25">
      <c r="A16" s="23"/>
      <c r="B16" s="7" t="s">
        <v>17</v>
      </c>
      <c r="C16" s="6">
        <v>342338</v>
      </c>
      <c r="D16" s="6"/>
      <c r="E16" s="6">
        <v>300427</v>
      </c>
      <c r="F16" s="6">
        <f t="shared" si="2"/>
        <v>0.8775742102834041</v>
      </c>
      <c r="G16" s="6">
        <v>291787</v>
      </c>
      <c r="H16" s="6">
        <f t="shared" si="3"/>
        <v>0.97124093373764675</v>
      </c>
      <c r="I16" s="6">
        <v>282927</v>
      </c>
      <c r="J16" s="6"/>
      <c r="K16" s="6">
        <f t="shared" si="4"/>
        <v>0.9696353847155631</v>
      </c>
      <c r="L16" s="6">
        <v>192958</v>
      </c>
      <c r="M16" s="6"/>
      <c r="N16" s="6"/>
      <c r="O16" s="6">
        <v>181957</v>
      </c>
      <c r="P16" s="6"/>
      <c r="Q16" s="6">
        <f t="shared" si="5"/>
        <v>0.94298759315498715</v>
      </c>
      <c r="R16" s="6">
        <v>179004</v>
      </c>
      <c r="S16" s="6"/>
      <c r="T16" s="6">
        <f t="shared" si="6"/>
        <v>0.98377089092477898</v>
      </c>
      <c r="U16" s="6">
        <v>180463</v>
      </c>
      <c r="V16" s="6"/>
      <c r="W16" s="6">
        <f t="shared" si="7"/>
        <v>1.0081506558512658</v>
      </c>
      <c r="X16" s="6">
        <v>197491</v>
      </c>
      <c r="Y16" s="6"/>
      <c r="Z16" s="6">
        <f t="shared" si="8"/>
        <v>1.0943572920764921</v>
      </c>
      <c r="AA16" s="6">
        <v>243703</v>
      </c>
      <c r="AB16" s="6"/>
      <c r="AC16" s="6">
        <f t="shared" si="9"/>
        <v>1.2339954732114375</v>
      </c>
      <c r="AD16" s="6">
        <v>270985</v>
      </c>
      <c r="AE16" s="6"/>
      <c r="AF16" s="6">
        <f t="shared" si="10"/>
        <v>1.1119477396667254</v>
      </c>
      <c r="AG16" s="6">
        <v>317329</v>
      </c>
      <c r="AH16" s="16">
        <f>'2022'!D16/'2021'!AG16</f>
        <v>0.98250081146066071</v>
      </c>
    </row>
    <row r="17" spans="1:34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4" ht="22.5" customHeight="1" x14ac:dyDescent="0.25">
      <c r="A18" s="23"/>
      <c r="B18" s="8"/>
      <c r="C18" s="6">
        <v>1966352</v>
      </c>
      <c r="D18" s="6"/>
      <c r="E18" s="6">
        <v>1712797</v>
      </c>
      <c r="F18" s="6">
        <f>E18/C18</f>
        <v>0.87105309730912883</v>
      </c>
      <c r="G18" s="6">
        <v>1499912</v>
      </c>
      <c r="H18" s="6">
        <f>G18/E18</f>
        <v>0.87570914708514791</v>
      </c>
      <c r="I18" s="6">
        <v>1441753</v>
      </c>
      <c r="J18" s="6"/>
      <c r="K18" s="6">
        <f>I18/G18</f>
        <v>0.96122505853676754</v>
      </c>
      <c r="L18" s="6">
        <v>1274105</v>
      </c>
      <c r="M18" s="6"/>
      <c r="N18" s="6"/>
      <c r="O18" s="6">
        <v>1097547</v>
      </c>
      <c r="P18" s="6"/>
      <c r="Q18" s="6">
        <f t="shared" si="5"/>
        <v>0.86142586364546092</v>
      </c>
      <c r="R18" s="6">
        <v>994765</v>
      </c>
      <c r="S18" s="6"/>
      <c r="T18" s="6">
        <f>R18/O18</f>
        <v>0.90635298533912445</v>
      </c>
      <c r="U18" s="6">
        <v>1046714</v>
      </c>
      <c r="V18" s="6"/>
      <c r="W18" s="6">
        <f t="shared" si="7"/>
        <v>1.0522223841811886</v>
      </c>
      <c r="X18" s="6">
        <v>1088765</v>
      </c>
      <c r="Y18" s="6"/>
      <c r="Z18" s="6"/>
      <c r="AA18" s="6">
        <v>1407607</v>
      </c>
      <c r="AB18" s="6"/>
      <c r="AC18" s="6">
        <f>AA18/X18</f>
        <v>1.2928474004950563</v>
      </c>
      <c r="AD18" s="6">
        <v>1586634</v>
      </c>
      <c r="AE18" s="6"/>
      <c r="AF18" s="6">
        <f>AD18/AA18</f>
        <v>1.1271853578449098</v>
      </c>
      <c r="AG18" s="6">
        <v>1732230</v>
      </c>
      <c r="AH18" s="16">
        <f>'2022'!D18/'2021'!AG18</f>
        <v>1.147486765614266</v>
      </c>
    </row>
    <row r="19" spans="1:34" ht="22.5" customHeight="1" x14ac:dyDescent="0.25">
      <c r="A19" s="27" t="s">
        <v>18</v>
      </c>
      <c r="B19" s="28"/>
      <c r="C19" s="9">
        <f t="shared" ref="C19:AG19" si="11">SUM(C14:C16,C18)</f>
        <v>2834443</v>
      </c>
      <c r="D19" s="9"/>
      <c r="E19" s="9">
        <f t="shared" si="11"/>
        <v>2525724</v>
      </c>
      <c r="F19" s="9"/>
      <c r="G19" s="9">
        <f t="shared" si="11"/>
        <v>2351073</v>
      </c>
      <c r="H19" s="9"/>
      <c r="I19" s="9">
        <f t="shared" si="11"/>
        <v>2211777</v>
      </c>
      <c r="J19" s="9"/>
      <c r="K19" s="9"/>
      <c r="L19" s="9">
        <f t="shared" si="11"/>
        <v>1905886</v>
      </c>
      <c r="M19" s="9"/>
      <c r="N19" s="9"/>
      <c r="O19" s="9">
        <f t="shared" si="11"/>
        <v>1712707</v>
      </c>
      <c r="P19" s="9"/>
      <c r="Q19" s="9"/>
      <c r="R19" s="9">
        <f t="shared" si="11"/>
        <v>1613229</v>
      </c>
      <c r="S19" s="9"/>
      <c r="T19" s="9"/>
      <c r="U19" s="9">
        <f t="shared" si="11"/>
        <v>1670106</v>
      </c>
      <c r="V19" s="9"/>
      <c r="W19" s="9"/>
      <c r="X19" s="9">
        <f t="shared" si="11"/>
        <v>1725929</v>
      </c>
      <c r="Y19" s="9"/>
      <c r="Z19" s="9"/>
      <c r="AA19" s="9">
        <f t="shared" si="11"/>
        <v>2194514</v>
      </c>
      <c r="AB19" s="9"/>
      <c r="AC19" s="9"/>
      <c r="AD19" s="9">
        <f t="shared" si="11"/>
        <v>2380386</v>
      </c>
      <c r="AE19" s="9"/>
      <c r="AF19" s="9"/>
      <c r="AG19" s="9">
        <f t="shared" si="11"/>
        <v>2662976</v>
      </c>
    </row>
    <row r="20" spans="1:34" ht="22.5" customHeight="1" x14ac:dyDescent="0.25">
      <c r="A20" s="22" t="s">
        <v>35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4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4" ht="22.5" customHeight="1" x14ac:dyDescent="0.25">
      <c r="A22" s="23"/>
      <c r="B22" s="7" t="s">
        <v>16</v>
      </c>
      <c r="C22" s="6">
        <v>93558</v>
      </c>
      <c r="D22" s="6">
        <v>0.84007796273145185</v>
      </c>
      <c r="E22" s="6">
        <v>85981</v>
      </c>
      <c r="F22" s="6">
        <v>0.95319951723087382</v>
      </c>
      <c r="G22" s="6">
        <v>106000</v>
      </c>
      <c r="H22" s="6">
        <v>0.78965419745042842</v>
      </c>
      <c r="I22" s="6">
        <v>119829</v>
      </c>
      <c r="J22" s="6"/>
      <c r="K22" s="6">
        <v>0.80571642069867366</v>
      </c>
      <c r="L22" s="6">
        <v>65312</v>
      </c>
      <c r="M22" s="6"/>
      <c r="N22" s="6">
        <v>1.1017853002550428</v>
      </c>
      <c r="O22" s="6">
        <v>61254</v>
      </c>
      <c r="P22" s="6"/>
      <c r="Q22" s="6">
        <v>1.1891308922558923</v>
      </c>
      <c r="R22" s="6">
        <v>62141</v>
      </c>
      <c r="S22" s="6"/>
      <c r="T22" s="6">
        <v>0.78690144376115267</v>
      </c>
      <c r="U22" s="6">
        <v>65935</v>
      </c>
      <c r="V22" s="6"/>
      <c r="W22" s="6">
        <v>1.1656327892201879</v>
      </c>
      <c r="X22" s="6">
        <v>65792</v>
      </c>
      <c r="Y22" s="6"/>
      <c r="Z22" s="6">
        <v>1.0818528224833994</v>
      </c>
      <c r="AA22" s="6">
        <v>66975</v>
      </c>
      <c r="AB22" s="6"/>
      <c r="AC22" s="6">
        <v>1.1658988229699203</v>
      </c>
      <c r="AD22" s="6">
        <v>73689</v>
      </c>
      <c r="AE22" s="6"/>
      <c r="AF22" s="6">
        <v>1.106193675032823</v>
      </c>
      <c r="AG22" s="6">
        <v>73442</v>
      </c>
      <c r="AH22" s="16">
        <f>'2022'!D22/'2021'!AG22</f>
        <v>1.1766291767653387</v>
      </c>
    </row>
    <row r="23" spans="1:34" ht="22.5" customHeight="1" x14ac:dyDescent="0.25">
      <c r="A23" s="23"/>
      <c r="B23" s="7" t="s">
        <v>17</v>
      </c>
      <c r="C23" s="6">
        <v>456</v>
      </c>
      <c r="D23" s="6">
        <v>1.0673684210526315</v>
      </c>
      <c r="E23" s="6">
        <v>436</v>
      </c>
      <c r="F23" s="6">
        <v>0.76331360946745563</v>
      </c>
      <c r="G23" s="6">
        <v>551</v>
      </c>
      <c r="H23" s="6">
        <v>1.1369509043927648</v>
      </c>
      <c r="I23" s="6">
        <v>420</v>
      </c>
      <c r="J23" s="6"/>
      <c r="K23" s="6">
        <v>2.0454545454545454</v>
      </c>
      <c r="L23" s="6">
        <v>465</v>
      </c>
      <c r="M23" s="6"/>
      <c r="N23" s="6">
        <v>0</v>
      </c>
      <c r="O23" s="6">
        <v>337</v>
      </c>
      <c r="P23" s="6"/>
      <c r="Q23" s="6"/>
      <c r="R23" s="6">
        <v>330</v>
      </c>
      <c r="S23" s="6"/>
      <c r="T23" s="6">
        <v>1.2926829268292683</v>
      </c>
      <c r="U23" s="6">
        <v>299</v>
      </c>
      <c r="V23" s="6"/>
      <c r="W23" s="6">
        <v>1.0448113207547169</v>
      </c>
      <c r="X23" s="6">
        <v>264</v>
      </c>
      <c r="Y23" s="6"/>
      <c r="Z23" s="6">
        <v>0.8148984198645598</v>
      </c>
      <c r="AA23" s="6">
        <v>375</v>
      </c>
      <c r="AB23" s="6"/>
      <c r="AC23" s="6">
        <v>0.97506925207756234</v>
      </c>
      <c r="AD23" s="6">
        <v>403</v>
      </c>
      <c r="AE23" s="6"/>
      <c r="AF23" s="6">
        <v>1.2357954545454546</v>
      </c>
      <c r="AG23" s="6">
        <v>378</v>
      </c>
      <c r="AH23" s="16">
        <f>'2022'!D23/'2021'!AG23</f>
        <v>0.62169312169312174</v>
      </c>
    </row>
    <row r="24" spans="1:34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4" ht="22.5" customHeight="1" x14ac:dyDescent="0.25">
      <c r="A25" s="23"/>
      <c r="B25" s="8"/>
      <c r="C25" s="6">
        <v>1350</v>
      </c>
      <c r="D25" s="6">
        <v>0.90480427046263345</v>
      </c>
      <c r="E25" s="6">
        <v>1251</v>
      </c>
      <c r="F25" s="6">
        <v>1.553916748607014</v>
      </c>
      <c r="G25" s="6">
        <v>1092</v>
      </c>
      <c r="H25" s="6">
        <v>0.35519932503691204</v>
      </c>
      <c r="I25" s="6">
        <v>2075</v>
      </c>
      <c r="J25" s="6"/>
      <c r="K25" s="6">
        <v>1.3545130641330165</v>
      </c>
      <c r="L25" s="6">
        <v>3278</v>
      </c>
      <c r="M25" s="6"/>
      <c r="N25" s="6">
        <v>0.1701008329679965</v>
      </c>
      <c r="O25" s="6">
        <v>929</v>
      </c>
      <c r="P25" s="6"/>
      <c r="Q25" s="6">
        <v>1.6211340206185567</v>
      </c>
      <c r="R25" s="6">
        <v>1727</v>
      </c>
      <c r="S25" s="6"/>
      <c r="T25" s="6">
        <v>0.73608903020667726</v>
      </c>
      <c r="U25" s="6">
        <v>1876</v>
      </c>
      <c r="V25" s="6"/>
      <c r="W25" s="6">
        <v>1.6285097192224622</v>
      </c>
      <c r="X25" s="6">
        <v>1955</v>
      </c>
      <c r="Y25" s="6"/>
      <c r="Z25" s="6">
        <v>1.460212201591512</v>
      </c>
      <c r="AA25" s="6">
        <v>1569</v>
      </c>
      <c r="AB25" s="6"/>
      <c r="AC25" s="6">
        <v>0.95186194368755672</v>
      </c>
      <c r="AD25" s="6">
        <v>1666</v>
      </c>
      <c r="AE25" s="6"/>
      <c r="AF25" s="6">
        <f>AE25/AC25</f>
        <v>0</v>
      </c>
      <c r="AG25" s="6">
        <v>1610</v>
      </c>
      <c r="AH25" s="16">
        <f>'2022'!D25/'2021'!AG25</f>
        <v>0.81863354037267078</v>
      </c>
    </row>
    <row r="26" spans="1:34" ht="22.5" customHeight="1" x14ac:dyDescent="0.25">
      <c r="A26" s="27" t="s">
        <v>18</v>
      </c>
      <c r="B26" s="28"/>
      <c r="C26" s="9">
        <f t="shared" ref="C26:AD26" si="12">SUM(C21:C23,C25)</f>
        <v>95364</v>
      </c>
      <c r="D26" s="9"/>
      <c r="E26" s="9">
        <f t="shared" si="12"/>
        <v>87668</v>
      </c>
      <c r="F26" s="9"/>
      <c r="G26" s="9">
        <f t="shared" si="12"/>
        <v>107643</v>
      </c>
      <c r="H26" s="9"/>
      <c r="I26" s="9">
        <f t="shared" si="12"/>
        <v>122324</v>
      </c>
      <c r="J26" s="9"/>
      <c r="K26" s="9"/>
      <c r="L26" s="9">
        <f t="shared" si="12"/>
        <v>69055</v>
      </c>
      <c r="M26" s="9"/>
      <c r="N26" s="9"/>
      <c r="O26" s="9">
        <f t="shared" si="12"/>
        <v>62520</v>
      </c>
      <c r="P26" s="9"/>
      <c r="Q26" s="9"/>
      <c r="R26" s="9">
        <f t="shared" si="12"/>
        <v>64198</v>
      </c>
      <c r="S26" s="9"/>
      <c r="T26" s="9"/>
      <c r="U26" s="9">
        <f t="shared" si="12"/>
        <v>68110</v>
      </c>
      <c r="V26" s="9"/>
      <c r="W26" s="9"/>
      <c r="X26" s="9">
        <f t="shared" si="12"/>
        <v>68011</v>
      </c>
      <c r="Y26" s="9"/>
      <c r="Z26" s="9"/>
      <c r="AA26" s="9">
        <f t="shared" si="12"/>
        <v>68919</v>
      </c>
      <c r="AB26" s="9"/>
      <c r="AC26" s="9"/>
      <c r="AD26" s="9">
        <f t="shared" si="12"/>
        <v>75758</v>
      </c>
      <c r="AE26" s="9"/>
      <c r="AF26" s="9"/>
      <c r="AG26" s="9">
        <f>SUM(AG21:AG23,AG25)</f>
        <v>75430</v>
      </c>
    </row>
    <row r="27" spans="1:34" ht="22.5" customHeight="1" x14ac:dyDescent="0.25">
      <c r="A27" s="22" t="s">
        <v>31</v>
      </c>
      <c r="B27" s="2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4" ht="22.5" customHeight="1" x14ac:dyDescent="0.25">
      <c r="A28" s="23"/>
      <c r="B28" s="7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4" ht="22.5" customHeight="1" x14ac:dyDescent="0.25">
      <c r="A29" s="23"/>
      <c r="B29" s="7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4" ht="22.5" customHeight="1" x14ac:dyDescent="0.25">
      <c r="A30" s="23"/>
      <c r="B30" s="7" t="s">
        <v>17</v>
      </c>
      <c r="C30" s="6">
        <v>26534</v>
      </c>
      <c r="D30" s="6">
        <v>0.77260887446876569</v>
      </c>
      <c r="E30" s="6">
        <v>25209</v>
      </c>
      <c r="F30" s="6">
        <v>1.2943159638019754</v>
      </c>
      <c r="G30" s="6">
        <v>23087</v>
      </c>
      <c r="H30" s="6">
        <v>0.82347027372846504</v>
      </c>
      <c r="I30" s="6">
        <v>19516</v>
      </c>
      <c r="J30" s="6"/>
      <c r="K30" s="6">
        <v>0.48851276359600443</v>
      </c>
      <c r="L30" s="6">
        <v>12527</v>
      </c>
      <c r="M30" s="6"/>
      <c r="N30" s="6">
        <v>1.413836192207202</v>
      </c>
      <c r="O30" s="6">
        <v>8564</v>
      </c>
      <c r="P30" s="6"/>
      <c r="Q30" s="6">
        <v>0.62510043387433711</v>
      </c>
      <c r="R30" s="6">
        <v>6142</v>
      </c>
      <c r="S30" s="6"/>
      <c r="T30" s="6">
        <v>1.0552699228791773</v>
      </c>
      <c r="U30" s="6">
        <v>7048</v>
      </c>
      <c r="V30" s="6"/>
      <c r="W30" s="6">
        <v>1.3552984165651645</v>
      </c>
      <c r="X30" s="6">
        <v>10819</v>
      </c>
      <c r="Y30" s="6"/>
      <c r="Z30" s="6">
        <v>1.8438033611934932</v>
      </c>
      <c r="AA30" s="6">
        <v>18904</v>
      </c>
      <c r="AB30" s="6"/>
      <c r="AC30" s="6">
        <v>1.2340612205108208</v>
      </c>
      <c r="AD30" s="6">
        <v>21500</v>
      </c>
      <c r="AE30" s="6"/>
      <c r="AF30" s="6">
        <v>1.0522553124259419</v>
      </c>
      <c r="AG30" s="6">
        <v>16672</v>
      </c>
      <c r="AH30" s="16">
        <f>'2022'!D30/'2021'!AG30</f>
        <v>1.022552783109405</v>
      </c>
    </row>
    <row r="31" spans="1:34" ht="22.5" customHeight="1" x14ac:dyDescent="0.25">
      <c r="A31" s="23"/>
      <c r="B31" s="24" t="s">
        <v>21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4" ht="22.5" customHeight="1" x14ac:dyDescent="0.25">
      <c r="A32" s="23"/>
      <c r="B32" s="8"/>
      <c r="C32" s="6">
        <v>866</v>
      </c>
      <c r="D32" s="6">
        <v>0.71825108396059423</v>
      </c>
      <c r="E32" s="6">
        <v>410</v>
      </c>
      <c r="F32" s="6">
        <v>1.326797385620915</v>
      </c>
      <c r="G32" s="6">
        <v>332</v>
      </c>
      <c r="H32" s="6">
        <v>1.1970443349753694</v>
      </c>
      <c r="I32" s="6">
        <v>319</v>
      </c>
      <c r="J32" s="6"/>
      <c r="K32" s="6">
        <v>0.5679012345679012</v>
      </c>
      <c r="L32" s="6">
        <v>303</v>
      </c>
      <c r="M32" s="6"/>
      <c r="N32" s="6">
        <v>1.1086956521739131</v>
      </c>
      <c r="O32" s="6">
        <v>306</v>
      </c>
      <c r="P32" s="6"/>
      <c r="Q32" s="6">
        <v>0.83660130718954251</v>
      </c>
      <c r="R32" s="6">
        <v>240</v>
      </c>
      <c r="S32" s="6"/>
      <c r="T32" s="6">
        <v>0.921875</v>
      </c>
      <c r="U32" s="6">
        <v>246</v>
      </c>
      <c r="V32" s="6"/>
      <c r="W32" s="6">
        <v>1.021186440677966</v>
      </c>
      <c r="X32" s="6">
        <v>298</v>
      </c>
      <c r="Y32" s="6"/>
      <c r="Z32" s="6">
        <v>1.6639004149377594</v>
      </c>
      <c r="AA32" s="6">
        <v>394</v>
      </c>
      <c r="AB32" s="6"/>
      <c r="AC32" s="6">
        <v>0.75688227760320592</v>
      </c>
      <c r="AD32" s="6">
        <v>365</v>
      </c>
      <c r="AE32" s="6"/>
      <c r="AF32" s="6">
        <v>0.65596330275229353</v>
      </c>
      <c r="AG32" s="6">
        <v>453</v>
      </c>
      <c r="AH32" s="16">
        <f>'2022'!D32/'2021'!AG32</f>
        <v>0.79911699779249445</v>
      </c>
    </row>
    <row r="33" spans="1:35" ht="22.5" customHeight="1" x14ac:dyDescent="0.25">
      <c r="A33" s="27" t="s">
        <v>18</v>
      </c>
      <c r="B33" s="28"/>
      <c r="C33" s="9">
        <f t="shared" ref="C33:AD33" si="13">SUM(C28:C30,C32)</f>
        <v>27400</v>
      </c>
      <c r="D33" s="9"/>
      <c r="E33" s="9">
        <f t="shared" si="13"/>
        <v>25619</v>
      </c>
      <c r="F33" s="9"/>
      <c r="G33" s="9">
        <f t="shared" si="13"/>
        <v>23419</v>
      </c>
      <c r="H33" s="9"/>
      <c r="I33" s="9">
        <f t="shared" si="13"/>
        <v>19835</v>
      </c>
      <c r="J33" s="9"/>
      <c r="K33" s="9"/>
      <c r="L33" s="9">
        <f t="shared" si="13"/>
        <v>12830</v>
      </c>
      <c r="M33" s="9"/>
      <c r="N33" s="9"/>
      <c r="O33" s="9">
        <f t="shared" si="13"/>
        <v>8870</v>
      </c>
      <c r="P33" s="9"/>
      <c r="Q33" s="9"/>
      <c r="R33" s="9">
        <f t="shared" si="13"/>
        <v>6382</v>
      </c>
      <c r="S33" s="9"/>
      <c r="T33" s="9"/>
      <c r="U33" s="9">
        <f t="shared" si="13"/>
        <v>7294</v>
      </c>
      <c r="V33" s="9"/>
      <c r="W33" s="9"/>
      <c r="X33" s="9">
        <f t="shared" si="13"/>
        <v>11117</v>
      </c>
      <c r="Y33" s="9"/>
      <c r="Z33" s="9"/>
      <c r="AA33" s="9">
        <f t="shared" si="13"/>
        <v>19298</v>
      </c>
      <c r="AB33" s="9"/>
      <c r="AC33" s="9"/>
      <c r="AD33" s="9">
        <f t="shared" si="13"/>
        <v>21865</v>
      </c>
      <c r="AE33" s="9"/>
      <c r="AF33" s="9"/>
      <c r="AG33" s="9">
        <f>SUM(AG28:AG30,AG32)</f>
        <v>17125</v>
      </c>
    </row>
    <row r="34" spans="1:35" ht="22.5" customHeight="1" x14ac:dyDescent="0.25">
      <c r="C34" s="12"/>
      <c r="D34" s="12"/>
      <c r="E34" s="10"/>
      <c r="F34" s="10"/>
      <c r="G34" s="10"/>
      <c r="H34" s="10"/>
      <c r="O34" s="12"/>
      <c r="P34" s="12"/>
      <c r="Q34" s="12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5" ht="22.5" customHeight="1" x14ac:dyDescent="0.25">
      <c r="C35" s="12"/>
      <c r="D35" s="12"/>
      <c r="E35" s="10"/>
      <c r="F35" s="10"/>
      <c r="G35" s="10"/>
      <c r="H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5" ht="22.5" customHeight="1" x14ac:dyDescent="0.25">
      <c r="C36" s="12"/>
      <c r="D36" s="12"/>
      <c r="E36" s="10"/>
      <c r="F36" s="10"/>
      <c r="G36" s="10"/>
      <c r="H36" s="10"/>
      <c r="L36" s="10"/>
      <c r="M36" s="10"/>
      <c r="N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5" ht="22.5" customHeight="1" x14ac:dyDescent="0.25">
      <c r="C37" s="12"/>
      <c r="D37" s="12"/>
      <c r="E37" s="10"/>
      <c r="F37" s="10"/>
      <c r="G37" s="10"/>
      <c r="H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5" ht="22.5" customHeight="1" x14ac:dyDescent="0.25">
      <c r="C38" s="12"/>
      <c r="D38" s="12"/>
      <c r="E38" s="10"/>
      <c r="F38" s="10"/>
      <c r="G38" s="10"/>
      <c r="H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5" ht="22.5" customHeight="1" x14ac:dyDescent="0.25">
      <c r="C39" s="12"/>
      <c r="D39" s="12"/>
      <c r="E39" s="10"/>
      <c r="F39" s="10"/>
      <c r="G39" s="10"/>
      <c r="H39" s="10"/>
      <c r="X39" s="10"/>
      <c r="Y39" s="10"/>
      <c r="Z39" s="10"/>
      <c r="AA39" s="10"/>
      <c r="AB39" s="10"/>
      <c r="AC39" s="10"/>
      <c r="AD39" s="13"/>
      <c r="AE39" s="13"/>
      <c r="AF39" s="13"/>
      <c r="AG39"/>
      <c r="AH39" s="18"/>
      <c r="AI39"/>
    </row>
    <row r="40" spans="1:35" ht="22.5" customHeight="1" x14ac:dyDescent="0.25">
      <c r="C40" s="12"/>
      <c r="D40" s="12"/>
      <c r="E40" s="10"/>
      <c r="F40" s="10"/>
      <c r="G40" s="10"/>
      <c r="H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5" ht="22.5" customHeight="1" x14ac:dyDescent="0.25">
      <c r="C41" s="12"/>
      <c r="D41" s="12"/>
      <c r="E41" s="10"/>
      <c r="F41" s="10"/>
      <c r="G41" s="10"/>
      <c r="H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5" ht="22.5" customHeight="1" x14ac:dyDescent="0.25">
      <c r="C42" s="12"/>
      <c r="D42" s="12"/>
      <c r="E42" s="10"/>
      <c r="F42" s="10"/>
      <c r="G42" s="10"/>
      <c r="H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5" ht="22.5" customHeight="1" x14ac:dyDescent="0.25">
      <c r="C43" s="12"/>
      <c r="D43" s="12"/>
      <c r="E43" s="10"/>
      <c r="F43" s="10"/>
      <c r="G43" s="10"/>
      <c r="H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5" ht="22.5" customHeight="1" x14ac:dyDescent="0.25">
      <c r="C44" s="12"/>
      <c r="D44" s="12"/>
      <c r="E44" s="10"/>
      <c r="F44" s="10"/>
      <c r="G44" s="10"/>
      <c r="H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5" ht="22.5" customHeight="1" x14ac:dyDescent="0.25">
      <c r="C45" s="12"/>
      <c r="D45" s="12"/>
      <c r="E45" s="10"/>
      <c r="F45" s="10"/>
      <c r="G45" s="10"/>
      <c r="H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5" ht="22.5" customHeight="1" x14ac:dyDescent="0.25">
      <c r="C46" s="12"/>
      <c r="D46" s="12"/>
      <c r="E46" s="10"/>
      <c r="F46" s="10"/>
      <c r="G46" s="10"/>
      <c r="H46" s="10"/>
    </row>
    <row r="47" spans="1:35" ht="22.5" customHeight="1" x14ac:dyDescent="0.25">
      <c r="C47" s="12"/>
      <c r="D47" s="12"/>
      <c r="E47" s="10"/>
      <c r="F47" s="10"/>
      <c r="G47" s="10"/>
      <c r="H47" s="10"/>
    </row>
    <row r="48" spans="1:35" ht="22.5" customHeight="1" x14ac:dyDescent="0.25">
      <c r="C48" s="12"/>
      <c r="D48" s="12"/>
      <c r="E48" s="10"/>
      <c r="F48" s="10"/>
      <c r="G48" s="10"/>
      <c r="H48" s="10"/>
    </row>
  </sheetData>
  <mergeCells count="17">
    <mergeCell ref="A33:B33"/>
    <mergeCell ref="A19:B19"/>
    <mergeCell ref="A20:A25"/>
    <mergeCell ref="B20:AG20"/>
    <mergeCell ref="B24:AG24"/>
    <mergeCell ref="A26:B26"/>
    <mergeCell ref="A27:A32"/>
    <mergeCell ref="B27:AG27"/>
    <mergeCell ref="B31:AG31"/>
    <mergeCell ref="A13:A18"/>
    <mergeCell ref="B13:AG13"/>
    <mergeCell ref="B17:AG17"/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U48"/>
  <sheetViews>
    <sheetView zoomScale="70" zoomScaleNormal="70" workbookViewId="0">
      <selection activeCell="Y30" sqref="Y30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140625" style="1" customWidth="1"/>
    <col min="5" max="6" width="19.140625" style="1" hidden="1" customWidth="1"/>
    <col min="7" max="7" width="19.140625" style="1" customWidth="1"/>
    <col min="8" max="9" width="19.140625" style="1" hidden="1" customWidth="1"/>
    <col min="10" max="10" width="19.140625" style="1" customWidth="1"/>
    <col min="11" max="12" width="19.140625" style="1" hidden="1" customWidth="1"/>
    <col min="13" max="13" width="19.140625" style="1" customWidth="1"/>
    <col min="14" max="16" width="19.140625" style="1" hidden="1" customWidth="1"/>
    <col min="17" max="17" width="19.140625" style="1" customWidth="1"/>
    <col min="18" max="20" width="19.140625" style="1" hidden="1" customWidth="1"/>
    <col min="21" max="21" width="19.140625" style="1" customWidth="1"/>
    <col min="22" max="22" width="19.140625" style="1" hidden="1" customWidth="1"/>
    <col min="23" max="23" width="2.42578125" style="1" hidden="1" customWidth="1"/>
    <col min="24" max="24" width="14.7109375" style="1" hidden="1" customWidth="1"/>
    <col min="25" max="25" width="19.140625" style="1" customWidth="1"/>
    <col min="26" max="28" width="19.140625" style="1" hidden="1" customWidth="1"/>
    <col min="29" max="29" width="19.140625" style="1" customWidth="1"/>
    <col min="30" max="32" width="19.140625" style="1" hidden="1" customWidth="1"/>
    <col min="33" max="33" width="19.140625" style="1" customWidth="1"/>
    <col min="34" max="36" width="19.140625" style="1" hidden="1" customWidth="1"/>
    <col min="37" max="37" width="19.140625" style="1" customWidth="1"/>
    <col min="38" max="40" width="19.140625" style="1" hidden="1" customWidth="1"/>
    <col min="41" max="41" width="19.140625" style="1" customWidth="1"/>
    <col min="42" max="44" width="19.140625" style="1" hidden="1" customWidth="1"/>
    <col min="45" max="45" width="19.140625" style="1" customWidth="1"/>
    <col min="46" max="46" width="9.140625" style="16"/>
    <col min="47" max="47" width="12.5703125" style="1" bestFit="1" customWidth="1"/>
    <col min="48" max="16384" width="9.140625" style="1"/>
  </cols>
  <sheetData>
    <row r="2" spans="1:46" ht="20.25" customHeight="1" x14ac:dyDescent="0.25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6" s="5" customFormat="1" ht="33" customHeight="1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  <c r="AT3" s="17"/>
    </row>
    <row r="4" spans="1:46" ht="22.5" customHeight="1" x14ac:dyDescent="0.25">
      <c r="A4" s="22" t="s">
        <v>36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6"/>
    </row>
    <row r="5" spans="1:46" ht="22.5" customHeight="1" x14ac:dyDescent="0.25">
      <c r="A5" s="23"/>
      <c r="B5" s="7" t="s">
        <v>19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6" ht="22.5" customHeight="1" x14ac:dyDescent="0.25">
      <c r="A6" s="23"/>
      <c r="B6" s="7" t="s">
        <v>14</v>
      </c>
      <c r="C6" s="7">
        <v>0.99054982772238209</v>
      </c>
      <c r="D6" s="6">
        <v>7939091</v>
      </c>
      <c r="E6" s="6"/>
      <c r="F6" s="6">
        <v>0.82727401906242881</v>
      </c>
      <c r="G6" s="6">
        <v>6706360</v>
      </c>
      <c r="H6" s="6"/>
      <c r="I6" s="6">
        <v>1.0227211298389167</v>
      </c>
      <c r="J6" s="6">
        <v>7528851</v>
      </c>
      <c r="K6" s="6"/>
      <c r="L6" s="6">
        <v>1.0765575741673881</v>
      </c>
      <c r="M6" s="6">
        <v>6012514</v>
      </c>
      <c r="N6" s="6"/>
      <c r="O6" s="6"/>
      <c r="P6" s="6">
        <v>0.94042669929639933</v>
      </c>
      <c r="Q6" s="6">
        <v>6333108</v>
      </c>
      <c r="R6" s="6"/>
      <c r="S6" s="6"/>
      <c r="T6" s="6">
        <v>0.86127405634222942</v>
      </c>
      <c r="U6" s="6">
        <v>5990565</v>
      </c>
      <c r="V6" s="6"/>
      <c r="W6" s="6"/>
      <c r="X6" s="6">
        <v>0.93392837090340053</v>
      </c>
      <c r="Y6" s="6">
        <v>5978969</v>
      </c>
      <c r="Z6" s="6"/>
      <c r="AA6" s="6"/>
      <c r="AB6" s="6">
        <v>0.99409800445037899</v>
      </c>
      <c r="AC6" s="6">
        <v>5951944</v>
      </c>
      <c r="AD6" s="6"/>
      <c r="AE6" s="6"/>
      <c r="AF6" s="6">
        <v>0.91974246944682125</v>
      </c>
      <c r="AG6" s="6">
        <v>6841025</v>
      </c>
      <c r="AH6" s="6"/>
      <c r="AI6" s="6"/>
      <c r="AJ6" s="6">
        <v>1.2531750996940021</v>
      </c>
      <c r="AK6" s="6">
        <v>6610908</v>
      </c>
      <c r="AL6" s="6"/>
      <c r="AM6" s="6"/>
      <c r="AN6" s="6">
        <v>1.0492249640270424</v>
      </c>
      <c r="AO6" s="6">
        <v>6489447</v>
      </c>
      <c r="AP6" s="6"/>
      <c r="AQ6" s="6"/>
      <c r="AR6" s="6">
        <v>1.135691326758093</v>
      </c>
      <c r="AS6" s="6">
        <v>7313666</v>
      </c>
    </row>
    <row r="7" spans="1:46" ht="22.5" customHeight="1" x14ac:dyDescent="0.25">
      <c r="A7" s="23"/>
      <c r="B7" s="7" t="s">
        <v>15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6" ht="22.5" customHeight="1" x14ac:dyDescent="0.25">
      <c r="A8" s="23"/>
      <c r="B8" s="7" t="s">
        <v>16</v>
      </c>
      <c r="C8" s="7">
        <v>0.49769577343917615</v>
      </c>
      <c r="D8" s="6">
        <v>61322</v>
      </c>
      <c r="E8" s="6"/>
      <c r="F8" s="6">
        <v>0.71752250232782699</v>
      </c>
      <c r="G8" s="6">
        <v>47272</v>
      </c>
      <c r="H8" s="6"/>
      <c r="I8" s="6">
        <v>1.028357204652504</v>
      </c>
      <c r="J8" s="6">
        <v>39455</v>
      </c>
      <c r="K8" s="6"/>
      <c r="L8" s="6">
        <v>0.59620957188259482</v>
      </c>
      <c r="M8" s="6">
        <v>24978</v>
      </c>
      <c r="N8" s="6"/>
      <c r="O8" s="6"/>
      <c r="P8" s="6">
        <v>0.6445341590561674</v>
      </c>
      <c r="Q8" s="6">
        <v>14905</v>
      </c>
      <c r="R8" s="6"/>
      <c r="S8" s="6"/>
      <c r="T8" s="6">
        <v>1.0127098029676478</v>
      </c>
      <c r="U8" s="6">
        <v>316</v>
      </c>
      <c r="V8" s="6"/>
      <c r="W8" s="6"/>
      <c r="X8" s="6">
        <v>0.64480874316939896</v>
      </c>
      <c r="Y8" s="6">
        <v>3243</v>
      </c>
      <c r="Z8" s="6"/>
      <c r="AA8" s="6"/>
      <c r="AB8" s="6">
        <v>1.277798472713727</v>
      </c>
      <c r="AC8" s="6">
        <v>13112</v>
      </c>
      <c r="AD8" s="6"/>
      <c r="AE8" s="6"/>
      <c r="AF8" s="6">
        <v>1.3196560017491437</v>
      </c>
      <c r="AG8" s="6">
        <v>24200</v>
      </c>
      <c r="AH8" s="6"/>
      <c r="AI8" s="6"/>
      <c r="AJ8" s="6">
        <v>2.0993538410559451</v>
      </c>
      <c r="AK8" s="6">
        <v>36447</v>
      </c>
      <c r="AL8" s="6"/>
      <c r="AM8" s="6"/>
      <c r="AN8" s="6">
        <v>1.0270696866861337</v>
      </c>
      <c r="AO8" s="6">
        <v>46063</v>
      </c>
      <c r="AP8" s="6"/>
      <c r="AQ8" s="6"/>
      <c r="AR8" s="6">
        <v>1.4155780953844577</v>
      </c>
      <c r="AS8" s="6">
        <v>66761</v>
      </c>
    </row>
    <row r="9" spans="1:46" ht="22.5" customHeight="1" x14ac:dyDescent="0.25">
      <c r="A9" s="23"/>
      <c r="B9" s="7" t="s">
        <v>17</v>
      </c>
      <c r="C9" s="7">
        <v>2.4131386861313868</v>
      </c>
      <c r="D9" s="6">
        <v>1515</v>
      </c>
      <c r="E9" s="6"/>
      <c r="F9" s="6">
        <v>0.48517846339987902</v>
      </c>
      <c r="G9" s="6">
        <v>938</v>
      </c>
      <c r="H9" s="6"/>
      <c r="I9" s="6">
        <v>1.046134663341646</v>
      </c>
      <c r="J9" s="6">
        <v>917</v>
      </c>
      <c r="K9" s="6"/>
      <c r="L9" s="6">
        <v>0.87842669845053634</v>
      </c>
      <c r="M9" s="6">
        <v>926</v>
      </c>
      <c r="N9" s="6"/>
      <c r="O9" s="6"/>
      <c r="P9" s="6">
        <v>0.66350067842605154</v>
      </c>
      <c r="Q9" s="6">
        <v>700</v>
      </c>
      <c r="R9" s="6"/>
      <c r="S9" s="6"/>
      <c r="T9" s="6">
        <v>0.78118609406952966</v>
      </c>
      <c r="U9" s="6">
        <v>836</v>
      </c>
      <c r="V9" s="6"/>
      <c r="W9" s="6"/>
      <c r="X9" s="6">
        <v>2.0602094240837698</v>
      </c>
      <c r="Y9" s="6">
        <v>601</v>
      </c>
      <c r="Z9" s="6"/>
      <c r="AA9" s="6"/>
      <c r="AB9" s="6">
        <v>0.55654383735705215</v>
      </c>
      <c r="AC9" s="6">
        <v>682</v>
      </c>
      <c r="AD9" s="6"/>
      <c r="AE9" s="6"/>
      <c r="AF9" s="6">
        <v>2.4703196347031962</v>
      </c>
      <c r="AG9" s="6">
        <v>739</v>
      </c>
      <c r="AH9" s="6"/>
      <c r="AI9" s="6"/>
      <c r="AJ9" s="6">
        <v>0.57486136783733821</v>
      </c>
      <c r="AK9" s="6">
        <v>966</v>
      </c>
      <c r="AL9" s="6"/>
      <c r="AM9" s="6"/>
      <c r="AN9" s="6">
        <v>2.189710610932476</v>
      </c>
      <c r="AO9" s="6">
        <v>1012</v>
      </c>
      <c r="AP9" s="6"/>
      <c r="AQ9" s="6"/>
      <c r="AR9" s="6">
        <v>0.35756240822320118</v>
      </c>
      <c r="AS9" s="6">
        <v>1117</v>
      </c>
    </row>
    <row r="10" spans="1:46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6"/>
    </row>
    <row r="11" spans="1:46" ht="22.5" customHeight="1" x14ac:dyDescent="0.25">
      <c r="A11" s="23"/>
      <c r="B11" s="8"/>
      <c r="C11" s="8">
        <v>1.8979796660389119E-2</v>
      </c>
      <c r="D11" s="6">
        <v>7268</v>
      </c>
      <c r="E11" s="6"/>
      <c r="F11" s="6">
        <v>0.83474170223887101</v>
      </c>
      <c r="G11" s="6">
        <v>7072</v>
      </c>
      <c r="H11" s="6"/>
      <c r="I11" s="6">
        <v>0.90158630766019621</v>
      </c>
      <c r="J11" s="6">
        <v>2946</v>
      </c>
      <c r="K11" s="6"/>
      <c r="L11" s="6">
        <v>0.73503877763630054</v>
      </c>
      <c r="M11" s="6">
        <f>L11*J11</f>
        <v>2165.4242389165415</v>
      </c>
      <c r="N11" s="6"/>
      <c r="O11" s="6"/>
      <c r="P11" s="6">
        <v>0.9401574803149606</v>
      </c>
      <c r="Q11" s="6">
        <v>2920</v>
      </c>
      <c r="R11" s="6"/>
      <c r="S11" s="6"/>
      <c r="T11" s="6">
        <v>0.79095477386934676</v>
      </c>
      <c r="U11" s="6">
        <v>2855</v>
      </c>
      <c r="V11" s="6"/>
      <c r="W11" s="6"/>
      <c r="X11" s="6">
        <v>0.93667937314697158</v>
      </c>
      <c r="Y11" s="6">
        <v>3507</v>
      </c>
      <c r="Z11" s="6"/>
      <c r="AA11" s="6"/>
      <c r="AB11" s="6">
        <v>0.87949355640967664</v>
      </c>
      <c r="AC11" s="6">
        <v>3447</v>
      </c>
      <c r="AD11" s="6"/>
      <c r="AE11" s="6"/>
      <c r="AF11" s="6">
        <v>1.3714652956298201</v>
      </c>
      <c r="AG11" s="6">
        <v>3973</v>
      </c>
      <c r="AH11" s="6"/>
      <c r="AI11" s="6"/>
      <c r="AJ11" s="6">
        <v>0.80899718837863166</v>
      </c>
      <c r="AK11" s="6">
        <v>2889</v>
      </c>
      <c r="AL11" s="6"/>
      <c r="AM11" s="6"/>
      <c r="AN11" s="6">
        <v>0.95111214087117701</v>
      </c>
      <c r="AO11" s="6">
        <v>3314</v>
      </c>
      <c r="AP11" s="6"/>
      <c r="AQ11" s="6"/>
      <c r="AR11" s="6">
        <v>1.1264311814859926</v>
      </c>
      <c r="AS11" s="6">
        <v>5205</v>
      </c>
    </row>
    <row r="12" spans="1:46" ht="22.5" customHeight="1" x14ac:dyDescent="0.25">
      <c r="A12" s="27" t="s">
        <v>18</v>
      </c>
      <c r="B12" s="28"/>
      <c r="C12" s="19"/>
      <c r="D12" s="9">
        <f t="shared" ref="D12:AS12" si="0">SUM(D5:D9,D11)</f>
        <v>8009196</v>
      </c>
      <c r="E12" s="9"/>
      <c r="F12" s="9"/>
      <c r="G12" s="9">
        <f t="shared" si="0"/>
        <v>6761642</v>
      </c>
      <c r="H12" s="9"/>
      <c r="I12" s="9"/>
      <c r="J12" s="9">
        <f t="shared" si="0"/>
        <v>7572169</v>
      </c>
      <c r="K12" s="9"/>
      <c r="L12" s="9"/>
      <c r="M12" s="9">
        <f t="shared" si="0"/>
        <v>6040583.4242389165</v>
      </c>
      <c r="N12" s="9"/>
      <c r="O12" s="9"/>
      <c r="P12" s="9"/>
      <c r="Q12" s="9">
        <f>SUM(Q5:Q9,Q11)</f>
        <v>6351633</v>
      </c>
      <c r="R12" s="9"/>
      <c r="S12" s="9"/>
      <c r="T12" s="9"/>
      <c r="U12" s="9">
        <f>SUM(U5:U9,U11)</f>
        <v>5994572</v>
      </c>
      <c r="V12" s="9"/>
      <c r="W12" s="9"/>
      <c r="X12" s="9"/>
      <c r="Y12" s="9">
        <f t="shared" ref="Y12:AG12" si="1">SUM(Y5:Y9,Y11)</f>
        <v>5986320</v>
      </c>
      <c r="Z12" s="9"/>
      <c r="AA12" s="9"/>
      <c r="AB12" s="9"/>
      <c r="AC12" s="9">
        <f t="shared" si="1"/>
        <v>5969185</v>
      </c>
      <c r="AD12" s="9"/>
      <c r="AE12" s="9"/>
      <c r="AF12" s="9"/>
      <c r="AG12" s="9">
        <f t="shared" si="1"/>
        <v>6869937</v>
      </c>
      <c r="AH12" s="9"/>
      <c r="AI12" s="9"/>
      <c r="AJ12" s="9"/>
      <c r="AK12" s="9">
        <f t="shared" si="0"/>
        <v>6651210</v>
      </c>
      <c r="AL12" s="9"/>
      <c r="AM12" s="9"/>
      <c r="AN12" s="9"/>
      <c r="AO12" s="9">
        <f t="shared" si="0"/>
        <v>6539836</v>
      </c>
      <c r="AP12" s="9"/>
      <c r="AQ12" s="9"/>
      <c r="AR12" s="9"/>
      <c r="AS12" s="9">
        <f t="shared" si="0"/>
        <v>7386749</v>
      </c>
    </row>
    <row r="13" spans="1:46" ht="22.5" customHeight="1" x14ac:dyDescent="0.25">
      <c r="A13" s="22" t="s">
        <v>34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</row>
    <row r="14" spans="1:46" ht="22.5" customHeight="1" x14ac:dyDescent="0.25">
      <c r="A14" s="23"/>
      <c r="B14" s="7" t="s">
        <v>15</v>
      </c>
      <c r="C14" s="7">
        <f>'2021'!AG14/'2021'!AD14</f>
        <v>1.3297560658014671</v>
      </c>
      <c r="D14" s="6">
        <f>[1]TDSheet!$B$39*1000+[1]TDSheet!$B$45*1000</f>
        <v>228362</v>
      </c>
      <c r="E14" s="6"/>
      <c r="F14" s="6">
        <v>1.1147476042061111</v>
      </c>
      <c r="G14" s="6">
        <v>252082</v>
      </c>
      <c r="H14" s="6"/>
      <c r="I14" s="6">
        <v>1.0461871315690456</v>
      </c>
      <c r="J14" s="6">
        <v>220356.00000000003</v>
      </c>
      <c r="K14" s="6"/>
      <c r="L14" s="6">
        <v>0.86866476846995355</v>
      </c>
      <c r="M14" s="6">
        <v>142391.00000000003</v>
      </c>
      <c r="N14" s="6"/>
      <c r="O14" s="6"/>
      <c r="P14" s="6">
        <v>0.68721319394127589</v>
      </c>
      <c r="Q14" s="6">
        <v>145833</v>
      </c>
      <c r="R14" s="6"/>
      <c r="S14" s="6"/>
      <c r="T14" s="6">
        <v>0.94838709677419353</v>
      </c>
      <c r="U14" s="6">
        <v>131305.99999999997</v>
      </c>
      <c r="V14" s="6"/>
      <c r="W14" s="6"/>
      <c r="X14" s="6">
        <v>1.0855060571569743</v>
      </c>
      <c r="Y14" s="6">
        <v>158207</v>
      </c>
      <c r="Z14" s="6"/>
      <c r="AA14" s="6"/>
      <c r="AB14" s="6">
        <v>1.1281578177325486</v>
      </c>
      <c r="AC14" s="6">
        <v>158174</v>
      </c>
      <c r="AD14" s="6"/>
      <c r="AE14" s="6"/>
      <c r="AF14" s="6">
        <v>1.0948881443856047</v>
      </c>
      <c r="AG14" s="6">
        <v>186473</v>
      </c>
      <c r="AH14" s="6"/>
      <c r="AI14" s="6"/>
      <c r="AJ14" s="6">
        <v>1.1820748198598361</v>
      </c>
      <c r="AK14" s="6">
        <v>240083</v>
      </c>
      <c r="AL14" s="6"/>
      <c r="AM14" s="6"/>
      <c r="AN14" s="6">
        <v>1.0260418406315064</v>
      </c>
      <c r="AO14" s="6">
        <v>292031</v>
      </c>
      <c r="AP14" s="6"/>
      <c r="AQ14" s="6"/>
      <c r="AR14" s="6">
        <v>1.3297560658014671</v>
      </c>
      <c r="AS14" s="6">
        <v>351150</v>
      </c>
    </row>
    <row r="15" spans="1:46" ht="22.5" customHeight="1" x14ac:dyDescent="0.25">
      <c r="A15" s="23"/>
      <c r="B15" s="7" t="s">
        <v>16</v>
      </c>
      <c r="C15" s="7">
        <f>'2021'!AG15/'2021'!AD15</f>
        <v>1.088259886838723</v>
      </c>
      <c r="D15" s="6">
        <f>[1]TDSheet!$B$41*1000+[1]TDSheet!$B$46*1000</f>
        <v>391607</v>
      </c>
      <c r="E15" s="6"/>
      <c r="F15" s="6">
        <v>0.90694666448271377</v>
      </c>
      <c r="G15" s="6">
        <v>348693.00000000006</v>
      </c>
      <c r="H15" s="6"/>
      <c r="I15" s="6">
        <v>1.1184376050917335</v>
      </c>
      <c r="J15" s="6">
        <v>313671.99999999994</v>
      </c>
      <c r="K15" s="6"/>
      <c r="L15" s="6">
        <v>0.87197369593300367</v>
      </c>
      <c r="M15" s="6">
        <v>251634</v>
      </c>
      <c r="N15" s="6"/>
      <c r="O15" s="6"/>
      <c r="P15" s="6">
        <v>1.0195370994160262</v>
      </c>
      <c r="Q15" s="6">
        <v>309022.99999999994</v>
      </c>
      <c r="R15" s="6"/>
      <c r="S15" s="6"/>
      <c r="T15" s="6">
        <v>1.0017161575608016</v>
      </c>
      <c r="U15" s="6">
        <v>273688.99999999994</v>
      </c>
      <c r="V15" s="6"/>
      <c r="W15" s="6"/>
      <c r="X15" s="6">
        <v>0.98926425440653276</v>
      </c>
      <c r="Y15" s="6">
        <v>276764</v>
      </c>
      <c r="Z15" s="6"/>
      <c r="AA15" s="6"/>
      <c r="AB15" s="6">
        <v>0.96113540981948731</v>
      </c>
      <c r="AC15" s="6">
        <v>295903</v>
      </c>
      <c r="AD15" s="6"/>
      <c r="AE15" s="6"/>
      <c r="AF15" s="6">
        <v>0.94599091190067541</v>
      </c>
      <c r="AG15" s="6">
        <v>248281</v>
      </c>
      <c r="AH15" s="6"/>
      <c r="AI15" s="6"/>
      <c r="AJ15" s="6">
        <v>1.2636770614650965</v>
      </c>
      <c r="AK15" s="6">
        <v>299796</v>
      </c>
      <c r="AL15" s="6"/>
      <c r="AM15" s="6"/>
      <c r="AN15" s="6">
        <v>0.93092114310861729</v>
      </c>
      <c r="AO15" s="6">
        <v>284962</v>
      </c>
      <c r="AP15" s="6"/>
      <c r="AQ15" s="6"/>
      <c r="AR15" s="6">
        <v>1.088259886838723</v>
      </c>
      <c r="AS15" s="6">
        <v>391015</v>
      </c>
    </row>
    <row r="16" spans="1:46" ht="22.5" customHeight="1" x14ac:dyDescent="0.25">
      <c r="A16" s="23"/>
      <c r="B16" s="7" t="s">
        <v>17</v>
      </c>
      <c r="C16" s="7">
        <f>'2021'!AG16/'2021'!AD16</f>
        <v>1.1710205361920401</v>
      </c>
      <c r="D16" s="6">
        <f>[1]TDSheet!$B$43*1000+[1]TDSheet!$B$47*1000</f>
        <v>311776</v>
      </c>
      <c r="E16" s="6"/>
      <c r="F16" s="6">
        <v>0.8775742102834041</v>
      </c>
      <c r="G16" s="6">
        <v>288955</v>
      </c>
      <c r="H16" s="6"/>
      <c r="I16" s="6">
        <v>0.97124093373764675</v>
      </c>
      <c r="J16" s="6">
        <v>295975</v>
      </c>
      <c r="K16" s="6"/>
      <c r="L16" s="6">
        <v>0.9696353847155631</v>
      </c>
      <c r="M16" s="6">
        <v>219555</v>
      </c>
      <c r="N16" s="6"/>
      <c r="O16" s="6"/>
      <c r="P16" s="6">
        <v>0.68200631258239763</v>
      </c>
      <c r="Q16" s="6">
        <v>190089</v>
      </c>
      <c r="R16" s="6"/>
      <c r="S16" s="6"/>
      <c r="T16" s="6">
        <v>0.94298759315498715</v>
      </c>
      <c r="U16" s="6">
        <v>202964</v>
      </c>
      <c r="V16" s="6"/>
      <c r="W16" s="6"/>
      <c r="X16" s="6">
        <v>0.98377089092477898</v>
      </c>
      <c r="Y16" s="6">
        <v>180962.00000000003</v>
      </c>
      <c r="Z16" s="6"/>
      <c r="AA16" s="6"/>
      <c r="AB16" s="6">
        <v>1.0081506558512658</v>
      </c>
      <c r="AC16" s="6">
        <v>185289.00000000003</v>
      </c>
      <c r="AD16" s="6"/>
      <c r="AE16" s="6"/>
      <c r="AF16" s="6">
        <v>1.0943572920764921</v>
      </c>
      <c r="AG16" s="6">
        <v>204212</v>
      </c>
      <c r="AH16" s="6"/>
      <c r="AI16" s="6"/>
      <c r="AJ16" s="6">
        <v>1.2339954732114375</v>
      </c>
      <c r="AK16" s="6">
        <v>252487</v>
      </c>
      <c r="AL16" s="6"/>
      <c r="AM16" s="6"/>
      <c r="AN16" s="6">
        <v>1.1119477396667254</v>
      </c>
      <c r="AO16" s="6">
        <v>279954</v>
      </c>
      <c r="AP16" s="6"/>
      <c r="AQ16" s="6"/>
      <c r="AR16" s="6">
        <v>1.1710205361920401</v>
      </c>
      <c r="AS16" s="6">
        <v>322643</v>
      </c>
    </row>
    <row r="17" spans="1:45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</row>
    <row r="18" spans="1:45" ht="22.5" customHeight="1" x14ac:dyDescent="0.25">
      <c r="A18" s="23"/>
      <c r="B18" s="8"/>
      <c r="C18" s="8"/>
      <c r="D18" s="6">
        <v>1987711</v>
      </c>
      <c r="E18" s="6"/>
      <c r="F18" s="6">
        <v>0.87105309730912883</v>
      </c>
      <c r="G18" s="6">
        <v>2047841</v>
      </c>
      <c r="H18" s="6"/>
      <c r="I18" s="6">
        <v>0.87570914708514791</v>
      </c>
      <c r="J18" s="6">
        <v>1636422</v>
      </c>
      <c r="K18" s="6"/>
      <c r="L18" s="6">
        <v>0.96122505853676754</v>
      </c>
      <c r="M18" s="6">
        <v>1543748</v>
      </c>
      <c r="N18" s="6"/>
      <c r="O18" s="6"/>
      <c r="P18" s="6">
        <v>0.88371933333934449</v>
      </c>
      <c r="Q18" s="6">
        <v>1248424</v>
      </c>
      <c r="R18" s="6"/>
      <c r="S18" s="6"/>
      <c r="T18" s="6">
        <v>0.86142586364546092</v>
      </c>
      <c r="U18" s="6">
        <v>1084925</v>
      </c>
      <c r="V18" s="6"/>
      <c r="W18" s="6"/>
      <c r="X18" s="6">
        <v>0.90635298533912445</v>
      </c>
      <c r="Y18" s="6">
        <v>1054201</v>
      </c>
      <c r="Z18" s="6"/>
      <c r="AA18" s="6"/>
      <c r="AB18" s="6">
        <v>1.0522223841811886</v>
      </c>
      <c r="AC18" s="6">
        <v>1105565</v>
      </c>
      <c r="AD18" s="6"/>
      <c r="AE18" s="6"/>
      <c r="AF18" s="6">
        <v>1.0401742978502246</v>
      </c>
      <c r="AG18" s="6">
        <v>1217673</v>
      </c>
      <c r="AH18" s="6"/>
      <c r="AI18" s="6"/>
      <c r="AJ18" s="6">
        <v>1.2928474004950563</v>
      </c>
      <c r="AK18" s="6">
        <v>1409213</v>
      </c>
      <c r="AL18" s="6"/>
      <c r="AM18" s="6"/>
      <c r="AN18" s="6">
        <v>1.1271853578449098</v>
      </c>
      <c r="AO18" s="6">
        <v>1540990</v>
      </c>
      <c r="AP18" s="6"/>
      <c r="AQ18" s="6"/>
      <c r="AR18" s="6">
        <v>1.0917640741342993</v>
      </c>
      <c r="AS18" s="6">
        <v>2012566</v>
      </c>
    </row>
    <row r="19" spans="1:45" ht="22.5" customHeight="1" x14ac:dyDescent="0.25">
      <c r="A19" s="27" t="s">
        <v>18</v>
      </c>
      <c r="B19" s="28"/>
      <c r="C19" s="19"/>
      <c r="D19" s="9">
        <f t="shared" ref="D19:AS19" si="2">SUM(D14:D16,D18)</f>
        <v>2919456</v>
      </c>
      <c r="E19" s="9"/>
      <c r="F19" s="9"/>
      <c r="G19" s="9">
        <f t="shared" si="2"/>
        <v>2937571</v>
      </c>
      <c r="H19" s="9"/>
      <c r="I19" s="9"/>
      <c r="J19" s="9">
        <f t="shared" si="2"/>
        <v>2466425</v>
      </c>
      <c r="K19" s="9"/>
      <c r="L19" s="9"/>
      <c r="M19" s="9">
        <f t="shared" si="2"/>
        <v>2157328</v>
      </c>
      <c r="N19" s="9"/>
      <c r="O19" s="9"/>
      <c r="P19" s="9"/>
      <c r="Q19" s="9">
        <f t="shared" si="2"/>
        <v>1893369</v>
      </c>
      <c r="R19" s="9"/>
      <c r="S19" s="9"/>
      <c r="T19" s="9"/>
      <c r="U19" s="9">
        <f t="shared" si="2"/>
        <v>1692884</v>
      </c>
      <c r="V19" s="9"/>
      <c r="W19" s="9"/>
      <c r="X19" s="9"/>
      <c r="Y19" s="9">
        <f t="shared" si="2"/>
        <v>1670134</v>
      </c>
      <c r="Z19" s="9"/>
      <c r="AA19" s="9"/>
      <c r="AB19" s="9"/>
      <c r="AC19" s="9">
        <f t="shared" si="2"/>
        <v>1744931</v>
      </c>
      <c r="AD19" s="9"/>
      <c r="AE19" s="9"/>
      <c r="AF19" s="9"/>
      <c r="AG19" s="9">
        <f t="shared" si="2"/>
        <v>1856639</v>
      </c>
      <c r="AH19" s="9"/>
      <c r="AI19" s="9"/>
      <c r="AJ19" s="9"/>
      <c r="AK19" s="9">
        <f t="shared" si="2"/>
        <v>2201579</v>
      </c>
      <c r="AL19" s="9"/>
      <c r="AM19" s="9"/>
      <c r="AN19" s="9"/>
      <c r="AO19" s="9">
        <f t="shared" si="2"/>
        <v>2397937</v>
      </c>
      <c r="AP19" s="9"/>
      <c r="AQ19" s="9"/>
      <c r="AR19" s="9"/>
      <c r="AS19" s="9">
        <f t="shared" si="2"/>
        <v>3077374</v>
      </c>
    </row>
    <row r="20" spans="1:45" ht="22.5" customHeight="1" x14ac:dyDescent="0.25">
      <c r="A20" s="22" t="s">
        <v>35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</row>
    <row r="21" spans="1:45" ht="22.5" customHeight="1" x14ac:dyDescent="0.25">
      <c r="A21" s="23"/>
      <c r="B21" s="7" t="s">
        <v>15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22.5" customHeight="1" x14ac:dyDescent="0.25">
      <c r="A22" s="23"/>
      <c r="B22" s="7" t="s">
        <v>16</v>
      </c>
      <c r="C22" s="7">
        <v>1.0780807079809176</v>
      </c>
      <c r="D22" s="6">
        <v>86414</v>
      </c>
      <c r="E22" s="6"/>
      <c r="F22" s="6">
        <v>0.91901280489108361</v>
      </c>
      <c r="G22" s="6">
        <v>79874</v>
      </c>
      <c r="H22" s="6"/>
      <c r="I22" s="6">
        <v>1.2328305090659564</v>
      </c>
      <c r="J22" s="6">
        <v>71714</v>
      </c>
      <c r="K22" s="6"/>
      <c r="L22" s="6">
        <v>1.1304622641509434</v>
      </c>
      <c r="M22" s="6">
        <v>61797</v>
      </c>
      <c r="N22" s="6"/>
      <c r="O22" s="6"/>
      <c r="P22" s="6">
        <v>0.54504335344532628</v>
      </c>
      <c r="Q22" s="6">
        <v>54362</v>
      </c>
      <c r="R22" s="6"/>
      <c r="S22" s="6"/>
      <c r="T22" s="6">
        <v>0.93786746692797651</v>
      </c>
      <c r="U22" s="6">
        <v>57226</v>
      </c>
      <c r="V22" s="6"/>
      <c r="W22" s="6"/>
      <c r="X22" s="6">
        <v>1.0144806869755445</v>
      </c>
      <c r="Y22" s="6">
        <v>52234</v>
      </c>
      <c r="Z22" s="6"/>
      <c r="AA22" s="6"/>
      <c r="AB22" s="6">
        <v>1.0610546981863826</v>
      </c>
      <c r="AC22" s="6">
        <v>56679</v>
      </c>
      <c r="AD22" s="6"/>
      <c r="AE22" s="6"/>
      <c r="AF22" s="6">
        <v>0.99783119739137027</v>
      </c>
      <c r="AG22" s="6">
        <v>57462</v>
      </c>
      <c r="AH22" s="6"/>
      <c r="AI22" s="6"/>
      <c r="AJ22" s="6">
        <v>1.0179809095330739</v>
      </c>
      <c r="AK22" s="6">
        <v>63820</v>
      </c>
      <c r="AL22" s="6"/>
      <c r="AM22" s="6"/>
      <c r="AN22" s="6">
        <v>1.1002463605823067</v>
      </c>
      <c r="AO22" s="6">
        <v>70037</v>
      </c>
      <c r="AP22" s="6"/>
      <c r="AQ22" s="6"/>
      <c r="AR22" s="6">
        <v>0.99664807501798103</v>
      </c>
      <c r="AS22" s="6">
        <v>94967</v>
      </c>
    </row>
    <row r="23" spans="1:45" ht="22.5" customHeight="1" x14ac:dyDescent="0.25">
      <c r="A23" s="23"/>
      <c r="B23" s="7" t="s">
        <v>17</v>
      </c>
      <c r="C23" s="7">
        <v>1.0482758620689656</v>
      </c>
      <c r="D23" s="6">
        <v>235</v>
      </c>
      <c r="E23" s="6"/>
      <c r="F23" s="6">
        <v>0.95614035087719296</v>
      </c>
      <c r="G23" s="6">
        <v>247</v>
      </c>
      <c r="H23" s="6"/>
      <c r="I23" s="6">
        <v>1.2637614678899083</v>
      </c>
      <c r="J23" s="6">
        <v>394</v>
      </c>
      <c r="K23" s="6"/>
      <c r="L23" s="6">
        <v>0.76225045372050815</v>
      </c>
      <c r="M23" s="6">
        <v>359</v>
      </c>
      <c r="N23" s="6"/>
      <c r="O23" s="6"/>
      <c r="P23" s="6">
        <v>1.1071428571428572</v>
      </c>
      <c r="Q23" s="6">
        <v>406</v>
      </c>
      <c r="R23" s="6"/>
      <c r="S23" s="6"/>
      <c r="T23" s="6">
        <v>0.72473118279569892</v>
      </c>
      <c r="U23" s="6">
        <v>0</v>
      </c>
      <c r="V23" s="6"/>
      <c r="W23" s="6"/>
      <c r="X23" s="6">
        <v>0.97922848664688422</v>
      </c>
      <c r="Y23" s="6">
        <v>456</v>
      </c>
      <c r="Z23" s="6"/>
      <c r="AA23" s="6"/>
      <c r="AB23" s="6">
        <v>0.90606060606060601</v>
      </c>
      <c r="AC23" s="6">
        <v>507</v>
      </c>
      <c r="AD23" s="6"/>
      <c r="AE23" s="6"/>
      <c r="AF23" s="6">
        <v>0.882943143812709</v>
      </c>
      <c r="AG23" s="6">
        <v>409</v>
      </c>
      <c r="AH23" s="6"/>
      <c r="AI23" s="6"/>
      <c r="AJ23" s="6">
        <v>1.4204545454545454</v>
      </c>
      <c r="AK23" s="6">
        <v>347</v>
      </c>
      <c r="AL23" s="6"/>
      <c r="AM23" s="6"/>
      <c r="AN23" s="6">
        <v>1.0746666666666667</v>
      </c>
      <c r="AO23" s="6">
        <v>426</v>
      </c>
      <c r="AP23" s="6"/>
      <c r="AQ23" s="6"/>
      <c r="AR23" s="6">
        <v>0.93796526054590568</v>
      </c>
      <c r="AS23" s="6">
        <v>381</v>
      </c>
    </row>
    <row r="24" spans="1:45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6"/>
    </row>
    <row r="25" spans="1:45" ht="22.5" customHeight="1" x14ac:dyDescent="0.25">
      <c r="A25" s="23"/>
      <c r="B25" s="8"/>
      <c r="C25" s="8">
        <v>1.1821366024518389</v>
      </c>
      <c r="D25" s="6">
        <v>1318</v>
      </c>
      <c r="E25" s="6"/>
      <c r="F25" s="6">
        <v>0.92666666666666664</v>
      </c>
      <c r="G25" s="6">
        <v>1728</v>
      </c>
      <c r="H25" s="6"/>
      <c r="I25" s="6">
        <v>0.87290167865707435</v>
      </c>
      <c r="J25" s="6">
        <v>3812</v>
      </c>
      <c r="K25" s="6"/>
      <c r="L25" s="6">
        <v>1.9001831501831501</v>
      </c>
      <c r="M25" s="6">
        <v>4187</v>
      </c>
      <c r="N25" s="6"/>
      <c r="O25" s="6"/>
      <c r="P25" s="6">
        <v>1.5797590361445784</v>
      </c>
      <c r="Q25" s="6">
        <v>2982</v>
      </c>
      <c r="R25" s="6"/>
      <c r="S25" s="6"/>
      <c r="T25" s="6">
        <v>0.28340451494813912</v>
      </c>
      <c r="U25" s="6">
        <v>2778</v>
      </c>
      <c r="V25" s="6"/>
      <c r="W25" s="6"/>
      <c r="X25" s="6">
        <v>1.8589881593110873</v>
      </c>
      <c r="Y25" s="6">
        <v>2366</v>
      </c>
      <c r="Z25" s="6"/>
      <c r="AA25" s="6"/>
      <c r="AB25" s="6">
        <v>1.0862767805442965</v>
      </c>
      <c r="AC25" s="6">
        <v>3303</v>
      </c>
      <c r="AD25" s="6"/>
      <c r="AE25" s="6"/>
      <c r="AF25" s="6">
        <v>1.0421108742004264</v>
      </c>
      <c r="AG25" s="6">
        <v>2235</v>
      </c>
      <c r="AH25" s="6"/>
      <c r="AI25" s="6"/>
      <c r="AJ25" s="6">
        <v>0.80255754475703323</v>
      </c>
      <c r="AK25" s="6">
        <v>3255</v>
      </c>
      <c r="AL25" s="6"/>
      <c r="AM25" s="6"/>
      <c r="AN25" s="6">
        <v>1.0618228170809432</v>
      </c>
      <c r="AO25" s="6">
        <v>6016</v>
      </c>
      <c r="AP25" s="6"/>
      <c r="AQ25" s="6"/>
      <c r="AR25" s="6">
        <v>1.0618228170809432</v>
      </c>
      <c r="AS25" s="6">
        <v>4761</v>
      </c>
    </row>
    <row r="26" spans="1:45" ht="22.5" customHeight="1" x14ac:dyDescent="0.25">
      <c r="A26" s="27" t="s">
        <v>18</v>
      </c>
      <c r="B26" s="28"/>
      <c r="C26" s="19"/>
      <c r="D26" s="9">
        <f t="shared" ref="D26:AO26" si="3">SUM(D21:D23,D25)</f>
        <v>87967</v>
      </c>
      <c r="E26" s="9"/>
      <c r="F26" s="9"/>
      <c r="G26" s="9">
        <f t="shared" si="3"/>
        <v>81849</v>
      </c>
      <c r="H26" s="9"/>
      <c r="I26" s="9"/>
      <c r="J26" s="9">
        <f t="shared" si="3"/>
        <v>75920</v>
      </c>
      <c r="K26" s="9"/>
      <c r="L26" s="9"/>
      <c r="M26" s="9">
        <f t="shared" si="3"/>
        <v>66343</v>
      </c>
      <c r="N26" s="9"/>
      <c r="O26" s="9"/>
      <c r="P26" s="9"/>
      <c r="Q26" s="9">
        <f t="shared" si="3"/>
        <v>57750</v>
      </c>
      <c r="R26" s="9"/>
      <c r="S26" s="9"/>
      <c r="T26" s="9"/>
      <c r="U26" s="9">
        <f t="shared" si="3"/>
        <v>60004</v>
      </c>
      <c r="V26" s="9"/>
      <c r="W26" s="9"/>
      <c r="X26" s="9"/>
      <c r="Y26" s="9">
        <f t="shared" si="3"/>
        <v>55056</v>
      </c>
      <c r="Z26" s="9"/>
      <c r="AA26" s="9"/>
      <c r="AB26" s="9"/>
      <c r="AC26" s="9">
        <f t="shared" si="3"/>
        <v>60489</v>
      </c>
      <c r="AD26" s="9"/>
      <c r="AE26" s="9"/>
      <c r="AF26" s="9"/>
      <c r="AG26" s="9">
        <f t="shared" si="3"/>
        <v>60106</v>
      </c>
      <c r="AH26" s="9"/>
      <c r="AI26" s="9"/>
      <c r="AJ26" s="9"/>
      <c r="AK26" s="9">
        <f t="shared" si="3"/>
        <v>67422</v>
      </c>
      <c r="AL26" s="9"/>
      <c r="AM26" s="9"/>
      <c r="AN26" s="9"/>
      <c r="AO26" s="9">
        <f t="shared" si="3"/>
        <v>76479</v>
      </c>
      <c r="AP26" s="9"/>
      <c r="AQ26" s="9"/>
      <c r="AR26" s="9"/>
      <c r="AS26" s="9">
        <f>SUM(AS21:AS23,AS25)</f>
        <v>100109</v>
      </c>
    </row>
    <row r="27" spans="1:45" ht="22.5" customHeight="1" x14ac:dyDescent="0.25">
      <c r="A27" s="22" t="s">
        <v>31</v>
      </c>
      <c r="B27" s="2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6"/>
    </row>
    <row r="28" spans="1:45" ht="22.5" customHeight="1" x14ac:dyDescent="0.25">
      <c r="A28" s="23"/>
      <c r="B28" s="7" t="s">
        <v>15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2.5" customHeight="1" x14ac:dyDescent="0.25">
      <c r="A29" s="23"/>
      <c r="B29" s="7" t="s">
        <v>16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22.5" customHeight="1" x14ac:dyDescent="0.25">
      <c r="A30" s="23"/>
      <c r="B30" s="7" t="s">
        <v>17</v>
      </c>
      <c r="C30" s="7">
        <v>0.99598363424796366</v>
      </c>
      <c r="D30" s="6">
        <v>17048</v>
      </c>
      <c r="E30" s="6"/>
      <c r="F30" s="6">
        <v>0.95006406874199145</v>
      </c>
      <c r="G30" s="6">
        <v>15643</v>
      </c>
      <c r="H30" s="6"/>
      <c r="I30" s="6">
        <v>0.91582371375302474</v>
      </c>
      <c r="J30" s="6">
        <v>13093</v>
      </c>
      <c r="K30" s="6"/>
      <c r="L30" s="6">
        <v>0.84532420842898603</v>
      </c>
      <c r="M30" s="6">
        <v>13337</v>
      </c>
      <c r="N30" s="6"/>
      <c r="O30" s="6"/>
      <c r="P30" s="6">
        <v>0.64188358270137325</v>
      </c>
      <c r="Q30" s="6">
        <v>10601</v>
      </c>
      <c r="R30" s="6"/>
      <c r="S30" s="6"/>
      <c r="T30" s="6">
        <v>0.6836433304063223</v>
      </c>
      <c r="U30" s="6">
        <v>8577</v>
      </c>
      <c r="V30" s="6"/>
      <c r="W30" s="6"/>
      <c r="X30" s="6">
        <v>0.7171882297991593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22.5" customHeight="1" x14ac:dyDescent="0.25">
      <c r="A31" s="23"/>
      <c r="B31" s="24" t="s">
        <v>21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6"/>
    </row>
    <row r="32" spans="1:45" ht="22.5" customHeight="1" x14ac:dyDescent="0.25">
      <c r="A32" s="23"/>
      <c r="B32" s="8"/>
      <c r="C32" s="8">
        <v>4.3497634450586826</v>
      </c>
      <c r="D32" s="6">
        <v>362</v>
      </c>
      <c r="E32" s="6"/>
      <c r="F32" s="6">
        <v>0.47344110854503463</v>
      </c>
      <c r="G32" s="6">
        <v>400</v>
      </c>
      <c r="H32" s="6"/>
      <c r="I32" s="6">
        <v>0.80975609756097566</v>
      </c>
      <c r="J32" s="6">
        <v>323</v>
      </c>
      <c r="K32" s="6"/>
      <c r="L32" s="6">
        <v>0.96084337349397586</v>
      </c>
      <c r="M32" s="6">
        <v>577</v>
      </c>
      <c r="N32" s="6"/>
      <c r="O32" s="6"/>
      <c r="P32" s="6">
        <v>0.94984326018808773</v>
      </c>
      <c r="Q32" s="6">
        <v>360</v>
      </c>
      <c r="R32" s="6"/>
      <c r="S32" s="6"/>
      <c r="T32" s="6">
        <v>1.0099009900990099</v>
      </c>
      <c r="U32" s="6">
        <v>223</v>
      </c>
      <c r="V32" s="6"/>
      <c r="W32" s="6"/>
      <c r="X32" s="6">
        <v>0.78431372549019607</v>
      </c>
      <c r="Y32" s="6"/>
      <c r="Z32" s="6"/>
      <c r="AA32" s="6"/>
      <c r="AB32" s="6">
        <v>1.0249999999999999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7" ht="22.5" customHeight="1" x14ac:dyDescent="0.25">
      <c r="A33" s="27" t="s">
        <v>18</v>
      </c>
      <c r="B33" s="28"/>
      <c r="C33" s="19"/>
      <c r="D33" s="9">
        <f t="shared" ref="D33:AO33" si="4">SUM(D28:D30,D32)</f>
        <v>17410</v>
      </c>
      <c r="E33" s="9"/>
      <c r="F33" s="9"/>
      <c r="G33" s="9">
        <f t="shared" si="4"/>
        <v>16043</v>
      </c>
      <c r="H33" s="9"/>
      <c r="I33" s="9"/>
      <c r="J33" s="9">
        <f t="shared" si="4"/>
        <v>13416</v>
      </c>
      <c r="K33" s="9"/>
      <c r="L33" s="9"/>
      <c r="M33" s="9">
        <f t="shared" si="4"/>
        <v>13914</v>
      </c>
      <c r="N33" s="9"/>
      <c r="O33" s="9"/>
      <c r="P33" s="9"/>
      <c r="Q33" s="9">
        <f t="shared" si="4"/>
        <v>10961</v>
      </c>
      <c r="R33" s="9"/>
      <c r="S33" s="9"/>
      <c r="T33" s="9"/>
      <c r="U33" s="9">
        <f t="shared" si="4"/>
        <v>8800</v>
      </c>
      <c r="V33" s="9"/>
      <c r="W33" s="9"/>
      <c r="X33" s="9"/>
      <c r="Y33" s="9">
        <f t="shared" si="4"/>
        <v>0</v>
      </c>
      <c r="Z33" s="9"/>
      <c r="AA33" s="9"/>
      <c r="AB33" s="9"/>
      <c r="AC33" s="9">
        <f t="shared" si="4"/>
        <v>0</v>
      </c>
      <c r="AD33" s="9"/>
      <c r="AE33" s="9"/>
      <c r="AF33" s="9"/>
      <c r="AG33" s="9">
        <f t="shared" si="4"/>
        <v>0</v>
      </c>
      <c r="AH33" s="9"/>
      <c r="AI33" s="9"/>
      <c r="AJ33" s="9"/>
      <c r="AK33" s="9">
        <f t="shared" si="4"/>
        <v>0</v>
      </c>
      <c r="AL33" s="9"/>
      <c r="AM33" s="9"/>
      <c r="AN33" s="9"/>
      <c r="AO33" s="9">
        <f t="shared" si="4"/>
        <v>0</v>
      </c>
      <c r="AP33" s="9"/>
      <c r="AQ33" s="9"/>
      <c r="AR33" s="9"/>
      <c r="AS33" s="9">
        <f>SUM(AS28:AS30,AS32)</f>
        <v>0</v>
      </c>
    </row>
    <row r="34" spans="1:47" ht="22.5" customHeight="1" x14ac:dyDescent="0.25">
      <c r="D34" s="12"/>
      <c r="E34" s="12"/>
      <c r="F34" s="12"/>
      <c r="G34" s="10"/>
      <c r="H34" s="10"/>
      <c r="I34" s="10"/>
      <c r="J34" s="10"/>
      <c r="K34" s="10"/>
      <c r="L34" s="10"/>
      <c r="U34" s="12"/>
      <c r="V34" s="12"/>
      <c r="W34" s="12"/>
      <c r="X34" s="12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7" ht="22.5" customHeight="1" x14ac:dyDescent="0.25">
      <c r="D35" s="12"/>
      <c r="E35" s="12"/>
      <c r="F35" s="12"/>
      <c r="G35" s="10"/>
      <c r="H35" s="10"/>
      <c r="I35" s="10"/>
      <c r="J35" s="10"/>
      <c r="K35" s="10"/>
      <c r="L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7" ht="22.5" customHeight="1" x14ac:dyDescent="0.25">
      <c r="D36" s="12"/>
      <c r="E36" s="12"/>
      <c r="F36" s="12"/>
      <c r="G36" s="10"/>
      <c r="H36" s="10"/>
      <c r="I36" s="10"/>
      <c r="J36" s="10"/>
      <c r="K36" s="10"/>
      <c r="L36" s="10"/>
      <c r="Q36" s="10"/>
      <c r="R36" s="10"/>
      <c r="S36" s="10"/>
      <c r="T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7" ht="22.5" customHeight="1" x14ac:dyDescent="0.25">
      <c r="D37" s="12"/>
      <c r="E37" s="12"/>
      <c r="F37" s="12"/>
      <c r="G37" s="10"/>
      <c r="H37" s="10"/>
      <c r="I37" s="10"/>
      <c r="J37" s="10"/>
      <c r="K37" s="10"/>
      <c r="L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7" ht="22.5" customHeight="1" x14ac:dyDescent="0.25">
      <c r="D38" s="12"/>
      <c r="E38" s="12"/>
      <c r="F38" s="12"/>
      <c r="G38" s="10"/>
      <c r="H38" s="10"/>
      <c r="I38" s="10"/>
      <c r="J38" s="10"/>
      <c r="K38" s="10"/>
      <c r="L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7" ht="22.5" customHeight="1" x14ac:dyDescent="0.25">
      <c r="D39" s="12"/>
      <c r="E39" s="12"/>
      <c r="F39" s="12"/>
      <c r="G39" s="10"/>
      <c r="H39" s="10"/>
      <c r="I39" s="10"/>
      <c r="J39" s="10"/>
      <c r="K39" s="10"/>
      <c r="L39" s="10"/>
      <c r="AG39" s="10"/>
      <c r="AH39" s="10"/>
      <c r="AI39" s="10"/>
      <c r="AJ39" s="10"/>
      <c r="AK39" s="10"/>
      <c r="AL39" s="10"/>
      <c r="AM39" s="10"/>
      <c r="AN39" s="10"/>
      <c r="AO39" s="13"/>
      <c r="AP39" s="13"/>
      <c r="AQ39" s="13"/>
      <c r="AR39" s="13"/>
      <c r="AS39"/>
      <c r="AT39" s="18"/>
      <c r="AU39"/>
    </row>
    <row r="40" spans="1:47" ht="22.5" customHeight="1" x14ac:dyDescent="0.25">
      <c r="D40" s="12"/>
      <c r="E40" s="12"/>
      <c r="F40" s="12"/>
      <c r="G40" s="10"/>
      <c r="H40" s="10"/>
      <c r="I40" s="10"/>
      <c r="J40" s="10"/>
      <c r="K40" s="10"/>
      <c r="L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7" ht="22.5" customHeight="1" x14ac:dyDescent="0.25">
      <c r="D41" s="12"/>
      <c r="E41" s="12"/>
      <c r="F41" s="12"/>
      <c r="G41" s="10"/>
      <c r="H41" s="10"/>
      <c r="I41" s="10"/>
      <c r="J41" s="10"/>
      <c r="K41" s="10"/>
      <c r="L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7" ht="22.5" customHeight="1" x14ac:dyDescent="0.25">
      <c r="D42" s="12"/>
      <c r="E42" s="12"/>
      <c r="F42" s="12"/>
      <c r="G42" s="10"/>
      <c r="H42" s="10"/>
      <c r="I42" s="10"/>
      <c r="J42" s="10"/>
      <c r="K42" s="10"/>
      <c r="L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7" ht="22.5" customHeight="1" x14ac:dyDescent="0.25">
      <c r="D43" s="12"/>
      <c r="E43" s="12"/>
      <c r="F43" s="12"/>
      <c r="G43" s="10"/>
      <c r="H43" s="10"/>
      <c r="I43" s="10"/>
      <c r="J43" s="10"/>
      <c r="K43" s="10"/>
      <c r="L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7" ht="22.5" customHeight="1" x14ac:dyDescent="0.25">
      <c r="D44" s="12"/>
      <c r="E44" s="12"/>
      <c r="F44" s="12"/>
      <c r="G44" s="10"/>
      <c r="H44" s="10"/>
      <c r="I44" s="10"/>
      <c r="J44" s="10"/>
      <c r="K44" s="10"/>
      <c r="L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7" ht="22.5" customHeight="1" x14ac:dyDescent="0.25">
      <c r="D45" s="12"/>
      <c r="E45" s="12"/>
      <c r="F45" s="12"/>
      <c r="G45" s="10"/>
      <c r="H45" s="10"/>
      <c r="I45" s="10"/>
      <c r="J45" s="10"/>
      <c r="K45" s="10"/>
      <c r="L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7" ht="22.5" customHeight="1" x14ac:dyDescent="0.25">
      <c r="D46" s="12"/>
      <c r="E46" s="12"/>
      <c r="F46" s="12"/>
      <c r="G46" s="10"/>
      <c r="H46" s="10"/>
      <c r="I46" s="10"/>
      <c r="J46" s="10"/>
      <c r="K46" s="10"/>
      <c r="L46" s="10"/>
    </row>
    <row r="47" spans="1:47" ht="22.5" customHeight="1" x14ac:dyDescent="0.25">
      <c r="D47" s="12"/>
      <c r="E47" s="12"/>
      <c r="F47" s="12"/>
      <c r="G47" s="10"/>
      <c r="H47" s="10"/>
      <c r="I47" s="10"/>
      <c r="J47" s="10"/>
      <c r="K47" s="10"/>
      <c r="L47" s="10"/>
    </row>
    <row r="48" spans="1:47" ht="22.5" customHeight="1" x14ac:dyDescent="0.25">
      <c r="D48" s="12"/>
      <c r="E48" s="12"/>
      <c r="F48" s="12"/>
      <c r="G48" s="10"/>
      <c r="H48" s="10"/>
      <c r="I48" s="10"/>
      <c r="J48" s="10"/>
      <c r="K48" s="10"/>
      <c r="L48" s="10"/>
    </row>
  </sheetData>
  <mergeCells count="17">
    <mergeCell ref="A13:A18"/>
    <mergeCell ref="B13:AS13"/>
    <mergeCell ref="B17:AS17"/>
    <mergeCell ref="A2:AS2"/>
    <mergeCell ref="A4:A11"/>
    <mergeCell ref="B4:AS4"/>
    <mergeCell ref="B10:AS10"/>
    <mergeCell ref="A12:B12"/>
    <mergeCell ref="A33:B33"/>
    <mergeCell ref="A19:B19"/>
    <mergeCell ref="A20:A25"/>
    <mergeCell ref="B20:AS20"/>
    <mergeCell ref="B24:AS24"/>
    <mergeCell ref="A26:B26"/>
    <mergeCell ref="A27:A32"/>
    <mergeCell ref="B27:AS27"/>
    <mergeCell ref="B31:AS3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1"/>
  <sheetViews>
    <sheetView zoomScale="70" zoomScaleNormal="70" workbookViewId="0">
      <selection activeCell="E23" sqref="A1:XFD1048576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9.140625" style="1"/>
    <col min="16" max="16" width="12.5703125" style="1" bestFit="1" customWidth="1"/>
    <col min="17" max="16384" width="9.140625" style="1"/>
  </cols>
  <sheetData>
    <row r="2" spans="1:14" ht="20.25" customHeight="1" x14ac:dyDescent="0.2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2" t="s">
        <v>36</v>
      </c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3"/>
      <c r="B5" s="7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2.5" customHeight="1" x14ac:dyDescent="0.25">
      <c r="A6" s="23"/>
      <c r="B6" s="7" t="s">
        <v>14</v>
      </c>
      <c r="C6" s="6">
        <v>7173151</v>
      </c>
      <c r="D6" s="6">
        <v>6347150</v>
      </c>
      <c r="E6" s="6">
        <v>6562728</v>
      </c>
      <c r="F6" s="6">
        <v>6343115</v>
      </c>
      <c r="G6" s="6">
        <v>6163055</v>
      </c>
      <c r="H6" s="6">
        <v>5102473</v>
      </c>
      <c r="I6" s="6">
        <v>4619574</v>
      </c>
      <c r="J6" s="6">
        <v>5370770</v>
      </c>
      <c r="K6" s="6">
        <v>5470337</v>
      </c>
      <c r="L6" s="6">
        <v>6041109</v>
      </c>
      <c r="M6" s="6">
        <v>6292870</v>
      </c>
      <c r="N6" s="6">
        <v>6875106</v>
      </c>
    </row>
    <row r="7" spans="1:14" ht="22.5" customHeight="1" x14ac:dyDescent="0.25">
      <c r="A7" s="23"/>
      <c r="B7" s="7" t="s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2.5" customHeight="1" x14ac:dyDescent="0.25">
      <c r="A8" s="23"/>
      <c r="B8" s="7" t="s">
        <v>16</v>
      </c>
      <c r="C8" s="6">
        <v>58760</v>
      </c>
      <c r="D8" s="6">
        <v>47448</v>
      </c>
      <c r="E8" s="6">
        <v>52269</v>
      </c>
      <c r="F8" s="6">
        <v>35320</v>
      </c>
      <c r="G8" s="6">
        <v>19961</v>
      </c>
      <c r="H8" s="6">
        <v>2681</v>
      </c>
      <c r="I8" s="6">
        <v>6287</v>
      </c>
      <c r="J8" s="6">
        <v>8667</v>
      </c>
      <c r="K8" s="6">
        <v>11546</v>
      </c>
      <c r="L8" s="6">
        <v>27176</v>
      </c>
      <c r="M8" s="6">
        <v>30106</v>
      </c>
      <c r="N8" s="6">
        <v>52989</v>
      </c>
    </row>
    <row r="9" spans="1:14" ht="22.5" customHeight="1" x14ac:dyDescent="0.25">
      <c r="A9" s="23"/>
      <c r="B9" s="7" t="s">
        <v>17</v>
      </c>
      <c r="C9" s="6">
        <v>993</v>
      </c>
      <c r="D9" s="6">
        <v>764</v>
      </c>
      <c r="E9" s="6">
        <v>620</v>
      </c>
      <c r="F9" s="6">
        <v>516</v>
      </c>
      <c r="G9" s="6">
        <v>445</v>
      </c>
      <c r="H9" s="6">
        <v>328</v>
      </c>
      <c r="I9" s="6">
        <v>462</v>
      </c>
      <c r="J9" s="6">
        <v>628</v>
      </c>
      <c r="K9" s="6">
        <v>631</v>
      </c>
      <c r="L9" s="6">
        <v>907</v>
      </c>
      <c r="M9" s="6">
        <v>995</v>
      </c>
      <c r="N9" s="6">
        <v>587</v>
      </c>
    </row>
    <row r="10" spans="1:14" ht="22.5" customHeight="1" x14ac:dyDescent="0.25">
      <c r="A10" s="23"/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8"/>
      <c r="C11" s="6">
        <v>4860</v>
      </c>
      <c r="D11" s="6">
        <v>4656</v>
      </c>
      <c r="E11" s="6">
        <v>3199</v>
      </c>
      <c r="F11" s="6">
        <v>3530</v>
      </c>
      <c r="G11" s="6">
        <v>2750</v>
      </c>
      <c r="H11" s="6">
        <v>3017</v>
      </c>
      <c r="I11" s="6">
        <v>2648</v>
      </c>
      <c r="J11" s="6">
        <v>3446</v>
      </c>
      <c r="K11" s="6">
        <v>3179</v>
      </c>
      <c r="L11" s="6">
        <v>3404</v>
      </c>
      <c r="M11" s="6">
        <v>3896</v>
      </c>
      <c r="N11" s="6">
        <v>5282</v>
      </c>
    </row>
    <row r="12" spans="1:14" ht="22.5" customHeight="1" x14ac:dyDescent="0.25">
      <c r="A12" s="27" t="s">
        <v>18</v>
      </c>
      <c r="B12" s="28"/>
      <c r="C12" s="9">
        <f t="shared" ref="C12:N12" si="0">SUM(C5:C9,C11)</f>
        <v>7237764</v>
      </c>
      <c r="D12" s="9">
        <f t="shared" si="0"/>
        <v>6400018</v>
      </c>
      <c r="E12" s="9">
        <f t="shared" si="0"/>
        <v>6618816</v>
      </c>
      <c r="F12" s="9">
        <f t="shared" si="0"/>
        <v>6382481</v>
      </c>
      <c r="G12" s="9">
        <f>SUM(G5:G9,G11)</f>
        <v>6186211</v>
      </c>
      <c r="H12" s="9">
        <f>SUM(H5:H9,H11)</f>
        <v>5108499</v>
      </c>
      <c r="I12" s="9">
        <f t="shared" ref="I12:K12" si="1">SUM(I5:I9,I11)</f>
        <v>4628971</v>
      </c>
      <c r="J12" s="9">
        <f t="shared" si="1"/>
        <v>5383511</v>
      </c>
      <c r="K12" s="9">
        <f t="shared" si="1"/>
        <v>5485693</v>
      </c>
      <c r="L12" s="9">
        <f t="shared" si="0"/>
        <v>6072596</v>
      </c>
      <c r="M12" s="9">
        <f t="shared" si="0"/>
        <v>6327867</v>
      </c>
      <c r="N12" s="9">
        <f t="shared" si="0"/>
        <v>6933964</v>
      </c>
    </row>
    <row r="13" spans="1:14" ht="22.5" customHeight="1" x14ac:dyDescent="0.25">
      <c r="A13" s="22" t="s">
        <v>34</v>
      </c>
      <c r="B13" s="24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22.5" customHeight="1" x14ac:dyDescent="0.25">
      <c r="A14" s="23"/>
      <c r="B14" s="7" t="s">
        <v>15</v>
      </c>
      <c r="C14" s="6">
        <v>280637</v>
      </c>
      <c r="D14" s="6">
        <v>335032</v>
      </c>
      <c r="E14" s="6">
        <v>304161</v>
      </c>
      <c r="F14" s="6">
        <v>254374</v>
      </c>
      <c r="G14" s="6">
        <v>217244</v>
      </c>
      <c r="H14" s="6">
        <v>138315</v>
      </c>
      <c r="I14" s="6">
        <v>209767</v>
      </c>
      <c r="J14" s="6">
        <v>210710</v>
      </c>
      <c r="K14" s="6">
        <v>226418</v>
      </c>
      <c r="L14" s="6">
        <v>278829</v>
      </c>
      <c r="M14" s="6">
        <v>341057</v>
      </c>
      <c r="N14" s="6">
        <v>433353</v>
      </c>
    </row>
    <row r="15" spans="1:14" ht="22.5" customHeight="1" x14ac:dyDescent="0.25">
      <c r="A15" s="23"/>
      <c r="B15" s="7" t="s">
        <v>16</v>
      </c>
      <c r="C15" s="6">
        <v>365227</v>
      </c>
      <c r="D15" s="6">
        <v>323845</v>
      </c>
      <c r="E15" s="6">
        <v>314380</v>
      </c>
      <c r="F15" s="6">
        <v>283307</v>
      </c>
      <c r="G15" s="6">
        <v>323293</v>
      </c>
      <c r="H15" s="6">
        <v>265220</v>
      </c>
      <c r="I15" s="6">
        <v>296739</v>
      </c>
      <c r="J15" s="6">
        <v>300049</v>
      </c>
      <c r="K15" s="6">
        <v>291706</v>
      </c>
      <c r="L15" s="6">
        <v>340298</v>
      </c>
      <c r="M15" s="6">
        <v>393102</v>
      </c>
      <c r="N15" s="6">
        <v>390584</v>
      </c>
    </row>
    <row r="16" spans="1:14" ht="22.5" customHeight="1" x14ac:dyDescent="0.25">
      <c r="A16" s="23"/>
      <c r="B16" s="7" t="s">
        <v>17</v>
      </c>
      <c r="C16" s="6">
        <v>309817</v>
      </c>
      <c r="D16" s="6">
        <v>276014</v>
      </c>
      <c r="E16" s="6">
        <v>258156</v>
      </c>
      <c r="F16" s="6">
        <v>244664</v>
      </c>
      <c r="G16" s="6">
        <v>204785</v>
      </c>
      <c r="H16" s="6">
        <v>188857</v>
      </c>
      <c r="I16" s="6">
        <v>180979</v>
      </c>
      <c r="J16" s="6">
        <v>190795</v>
      </c>
      <c r="K16" s="6">
        <v>201439</v>
      </c>
      <c r="L16" s="6">
        <v>235411.99999999997</v>
      </c>
      <c r="M16" s="6">
        <v>282824</v>
      </c>
      <c r="N16" s="6">
        <v>327894</v>
      </c>
    </row>
    <row r="17" spans="1:16" ht="22.5" customHeight="1" x14ac:dyDescent="0.25">
      <c r="A17" s="23"/>
      <c r="B17" s="24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6" ht="22.5" customHeight="1" x14ac:dyDescent="0.25">
      <c r="A18" s="23"/>
      <c r="B18" s="8"/>
      <c r="C18" s="6">
        <v>1959498</v>
      </c>
      <c r="D18" s="6">
        <v>1815041</v>
      </c>
      <c r="E18" s="6">
        <v>1553226</v>
      </c>
      <c r="F18" s="6">
        <v>1506990</v>
      </c>
      <c r="G18" s="6">
        <v>1339510</v>
      </c>
      <c r="H18" s="6">
        <v>1055539</v>
      </c>
      <c r="I18" s="6">
        <v>968303</v>
      </c>
      <c r="J18" s="6">
        <v>1008824</v>
      </c>
      <c r="K18" s="6">
        <v>1114617</v>
      </c>
      <c r="L18" s="6">
        <v>1311396</v>
      </c>
      <c r="M18" s="6">
        <v>1642507</v>
      </c>
      <c r="N18" s="6">
        <v>1912570</v>
      </c>
    </row>
    <row r="19" spans="1:16" ht="22.5" customHeight="1" x14ac:dyDescent="0.25">
      <c r="A19" s="27" t="s">
        <v>18</v>
      </c>
      <c r="B19" s="28"/>
      <c r="C19" s="9">
        <f t="shared" ref="C19:N19" si="2">SUM(C14:C16,C18)</f>
        <v>2915179</v>
      </c>
      <c r="D19" s="9">
        <f t="shared" si="2"/>
        <v>2749932</v>
      </c>
      <c r="E19" s="9">
        <f t="shared" si="2"/>
        <v>2429923</v>
      </c>
      <c r="F19" s="9">
        <f t="shared" si="2"/>
        <v>2289335</v>
      </c>
      <c r="G19" s="9">
        <f t="shared" si="2"/>
        <v>2084832</v>
      </c>
      <c r="H19" s="9">
        <f t="shared" si="2"/>
        <v>1647931</v>
      </c>
      <c r="I19" s="9">
        <f t="shared" si="2"/>
        <v>1655788</v>
      </c>
      <c r="J19" s="9">
        <f t="shared" si="2"/>
        <v>1710378</v>
      </c>
      <c r="K19" s="9">
        <f t="shared" si="2"/>
        <v>1834180</v>
      </c>
      <c r="L19" s="9">
        <f t="shared" si="2"/>
        <v>2165935</v>
      </c>
      <c r="M19" s="9">
        <f t="shared" si="2"/>
        <v>2659490</v>
      </c>
      <c r="N19" s="9">
        <f t="shared" si="2"/>
        <v>3064401</v>
      </c>
    </row>
    <row r="20" spans="1:16" ht="22.5" customHeight="1" x14ac:dyDescent="0.25">
      <c r="A20" s="22" t="s">
        <v>35</v>
      </c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6" ht="22.5" customHeight="1" x14ac:dyDescent="0.25">
      <c r="A21" s="23"/>
      <c r="B21" s="7" t="s"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ht="22.5" customHeight="1" x14ac:dyDescent="0.25">
      <c r="A22" s="23"/>
      <c r="B22" s="7" t="s">
        <v>16</v>
      </c>
      <c r="C22" s="6">
        <v>82162</v>
      </c>
      <c r="D22" s="6">
        <v>80916</v>
      </c>
      <c r="E22" s="20">
        <v>66213</v>
      </c>
      <c r="F22" s="6">
        <v>64552</v>
      </c>
      <c r="G22" s="6">
        <v>67398</v>
      </c>
      <c r="H22" s="6">
        <v>66307</v>
      </c>
      <c r="I22" s="20">
        <v>63444</v>
      </c>
      <c r="J22" s="6">
        <v>71902</v>
      </c>
      <c r="K22" s="6">
        <v>62520</v>
      </c>
      <c r="L22" s="6">
        <v>72792</v>
      </c>
      <c r="M22" s="6">
        <v>76069</v>
      </c>
      <c r="N22" s="6">
        <v>90376</v>
      </c>
    </row>
    <row r="23" spans="1:16" ht="22.5" customHeight="1" x14ac:dyDescent="0.25">
      <c r="A23" s="23"/>
      <c r="B23" s="7" t="s">
        <v>17</v>
      </c>
      <c r="C23" s="6">
        <v>437</v>
      </c>
      <c r="D23" s="6">
        <v>279</v>
      </c>
      <c r="E23" s="20">
        <v>411</v>
      </c>
      <c r="F23" s="6">
        <v>247</v>
      </c>
      <c r="G23" s="6">
        <v>90</v>
      </c>
      <c r="H23" s="6">
        <v>200</v>
      </c>
      <c r="I23" s="20">
        <v>200</v>
      </c>
      <c r="J23" s="6">
        <v>333</v>
      </c>
      <c r="K23" s="6">
        <v>15</v>
      </c>
      <c r="L23" s="6">
        <v>261</v>
      </c>
      <c r="M23" s="6">
        <v>78</v>
      </c>
      <c r="N23" s="6">
        <v>44</v>
      </c>
    </row>
    <row r="24" spans="1:16" ht="22.5" customHeight="1" x14ac:dyDescent="0.25">
      <c r="A24" s="23"/>
      <c r="B24" s="24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6" ht="22.5" customHeight="1" x14ac:dyDescent="0.25">
      <c r="A25" s="23"/>
      <c r="B25" s="8"/>
      <c r="C25" s="6">
        <v>2411</v>
      </c>
      <c r="D25" s="6">
        <v>5852</v>
      </c>
      <c r="E25" s="20">
        <v>5217</v>
      </c>
      <c r="F25" s="6">
        <v>5245</v>
      </c>
      <c r="G25" s="6">
        <v>3415</v>
      </c>
      <c r="H25" s="6">
        <v>3576</v>
      </c>
      <c r="I25" s="20">
        <v>4241</v>
      </c>
      <c r="J25" s="6">
        <v>4118</v>
      </c>
      <c r="K25" s="6">
        <v>3320</v>
      </c>
      <c r="L25" s="6">
        <v>5127</v>
      </c>
      <c r="M25" s="6">
        <v>5572</v>
      </c>
      <c r="N25" s="6">
        <v>4777</v>
      </c>
    </row>
    <row r="26" spans="1:16" ht="22.5" customHeight="1" x14ac:dyDescent="0.25">
      <c r="A26" s="27" t="s">
        <v>18</v>
      </c>
      <c r="B26" s="28"/>
      <c r="C26" s="9">
        <f t="shared" ref="C26:M26" si="3">SUM(C21:C23,C25)</f>
        <v>85010</v>
      </c>
      <c r="D26" s="9">
        <f t="shared" si="3"/>
        <v>87047</v>
      </c>
      <c r="E26" s="9">
        <f t="shared" si="3"/>
        <v>71841</v>
      </c>
      <c r="F26" s="9">
        <f t="shared" si="3"/>
        <v>70044</v>
      </c>
      <c r="G26" s="9">
        <f t="shared" si="3"/>
        <v>70903</v>
      </c>
      <c r="H26" s="9">
        <f t="shared" si="3"/>
        <v>70083</v>
      </c>
      <c r="I26" s="9">
        <f t="shared" si="3"/>
        <v>67885</v>
      </c>
      <c r="J26" s="9">
        <f t="shared" si="3"/>
        <v>76353</v>
      </c>
      <c r="K26" s="9">
        <f t="shared" si="3"/>
        <v>65855</v>
      </c>
      <c r="L26" s="9">
        <f t="shared" si="3"/>
        <v>78180</v>
      </c>
      <c r="M26" s="9">
        <f t="shared" si="3"/>
        <v>81719</v>
      </c>
      <c r="N26" s="9">
        <f>SUM(N21:N23,N25)</f>
        <v>95197</v>
      </c>
    </row>
    <row r="27" spans="1:16" ht="22.5" customHeight="1" x14ac:dyDescent="0.25">
      <c r="C27" s="12"/>
      <c r="D27" s="10"/>
      <c r="E27" s="10"/>
      <c r="H27" s="12"/>
      <c r="K27" s="10"/>
      <c r="L27" s="10"/>
      <c r="M27" s="10"/>
      <c r="N27" s="10"/>
    </row>
    <row r="28" spans="1:16" ht="22.5" customHeight="1" x14ac:dyDescent="0.25">
      <c r="C28" s="12"/>
      <c r="D28" s="10"/>
      <c r="E28" s="10"/>
      <c r="K28" s="10"/>
      <c r="L28" s="10"/>
      <c r="M28" s="10"/>
      <c r="N28" s="10"/>
    </row>
    <row r="29" spans="1:16" ht="22.5" customHeight="1" x14ac:dyDescent="0.25">
      <c r="C29" s="12"/>
      <c r="D29" s="10"/>
      <c r="E29" s="10"/>
      <c r="G29" s="10"/>
      <c r="K29" s="10"/>
      <c r="L29" s="10"/>
      <c r="M29" s="10"/>
      <c r="N29" s="10"/>
    </row>
    <row r="30" spans="1:16" ht="22.5" customHeight="1" x14ac:dyDescent="0.25">
      <c r="C30" s="12"/>
      <c r="D30" s="10"/>
      <c r="E30" s="10"/>
      <c r="K30" s="10"/>
      <c r="L30" s="10"/>
      <c r="M30" s="10"/>
      <c r="N30" s="10"/>
    </row>
    <row r="31" spans="1:16" ht="22.5" customHeight="1" x14ac:dyDescent="0.25">
      <c r="C31" s="12"/>
      <c r="D31" s="10"/>
      <c r="E31" s="10"/>
      <c r="K31" s="10"/>
      <c r="L31" s="10"/>
      <c r="M31" s="10"/>
      <c r="N31" s="10"/>
    </row>
    <row r="32" spans="1:16" ht="22.5" customHeight="1" x14ac:dyDescent="0.25">
      <c r="C32" s="12"/>
      <c r="D32" s="10"/>
      <c r="E32" s="10"/>
      <c r="K32" s="10"/>
      <c r="L32" s="10"/>
      <c r="M32" s="13"/>
      <c r="N32"/>
      <c r="O32"/>
      <c r="P32"/>
    </row>
    <row r="33" spans="3:13" ht="22.5" customHeight="1" x14ac:dyDescent="0.25">
      <c r="C33" s="12"/>
      <c r="D33" s="10"/>
      <c r="E33" s="10"/>
      <c r="K33" s="10"/>
      <c r="L33" s="10"/>
      <c r="M33" s="10"/>
    </row>
    <row r="34" spans="3:13" ht="22.5" customHeight="1" x14ac:dyDescent="0.25">
      <c r="C34" s="12"/>
      <c r="D34" s="10"/>
      <c r="E34" s="10"/>
      <c r="K34" s="10"/>
      <c r="L34" s="10"/>
      <c r="M34" s="10"/>
    </row>
    <row r="35" spans="3:13" ht="22.5" customHeight="1" x14ac:dyDescent="0.25">
      <c r="C35" s="12"/>
      <c r="D35" s="10"/>
      <c r="E35" s="10"/>
      <c r="K35" s="10"/>
      <c r="L35" s="10"/>
      <c r="M35" s="10"/>
    </row>
    <row r="36" spans="3:13" ht="22.5" customHeight="1" x14ac:dyDescent="0.25">
      <c r="C36" s="12"/>
      <c r="D36" s="10"/>
      <c r="E36" s="10"/>
      <c r="K36" s="10"/>
      <c r="L36" s="10"/>
      <c r="M36" s="10"/>
    </row>
    <row r="37" spans="3:13" ht="22.5" customHeight="1" x14ac:dyDescent="0.25">
      <c r="C37" s="12"/>
      <c r="D37" s="10"/>
      <c r="E37" s="10"/>
      <c r="K37" s="10"/>
      <c r="L37" s="10"/>
      <c r="M37" s="10"/>
    </row>
    <row r="38" spans="3:13" ht="22.5" customHeight="1" x14ac:dyDescent="0.25">
      <c r="C38" s="12"/>
      <c r="D38" s="10"/>
      <c r="E38" s="10"/>
      <c r="K38" s="10"/>
      <c r="L38" s="10"/>
      <c r="M38" s="10"/>
    </row>
    <row r="39" spans="3:13" ht="22.5" customHeight="1" x14ac:dyDescent="0.25">
      <c r="C39" s="12"/>
      <c r="D39" s="10"/>
      <c r="E39" s="10"/>
    </row>
    <row r="40" spans="3:13" ht="22.5" customHeight="1" x14ac:dyDescent="0.25">
      <c r="C40" s="12"/>
      <c r="D40" s="10"/>
      <c r="E40" s="10"/>
    </row>
    <row r="41" spans="3:13" ht="22.5" customHeight="1" x14ac:dyDescent="0.25">
      <c r="C41" s="12"/>
      <c r="D41" s="10"/>
      <c r="E41" s="10"/>
    </row>
  </sheetData>
  <mergeCells count="13">
    <mergeCell ref="A19:B19"/>
    <mergeCell ref="A20:A25"/>
    <mergeCell ref="B20:N20"/>
    <mergeCell ref="B24:N24"/>
    <mergeCell ref="A26:B26"/>
    <mergeCell ref="A13:A18"/>
    <mergeCell ref="B13:N13"/>
    <mergeCell ref="B17:N17"/>
    <mergeCell ref="A2:N2"/>
    <mergeCell ref="A4:A11"/>
    <mergeCell ref="B4:N4"/>
    <mergeCell ref="B10:N10"/>
    <mergeCell ref="A12:B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2024-04-23T11:42:08Z</dcterms:modified>
</cp:coreProperties>
</file>